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C:\Users\eugen\balde-cheio-backend\app\static\"/>
    </mc:Choice>
  </mc:AlternateContent>
  <xr:revisionPtr revIDLastSave="0" documentId="13_ncr:1_{7DE72625-F088-4611-90E5-6EF29233E3FA}" xr6:coauthVersionLast="44" xr6:coauthVersionMax="44" xr10:uidLastSave="{00000000-0000-0000-0000-000000000000}"/>
  <bookViews>
    <workbookView xWindow="-120" yWindow="-120" windowWidth="29040" windowHeight="15840" tabRatio="805" activeTab="5" xr2:uid="{00000000-000D-0000-FFFF-FFFF00000000}"/>
  </bookViews>
  <sheets>
    <sheet name="Animais" sheetId="3" r:id="rId1"/>
    <sheet name="Instalações" sheetId="4" r:id="rId2"/>
    <sheet name="Máquinas" sheetId="13" r:id="rId3"/>
    <sheet name="Terra" sheetId="14" r:id="rId4"/>
    <sheet name="Patrimônio" sheetId="48" r:id="rId5"/>
    <sheet name="COMPLETA" sheetId="38" r:id="rId6"/>
    <sheet name="ÚNICA INSTRUÇÃO" sheetId="50" r:id="rId7"/>
    <sheet name="RESUMIDA" sheetId="49" r:id="rId8"/>
  </sheets>
  <definedNames>
    <definedName name="_xlnm.Print_Area" localSheetId="5">COMPLETA!$A$1:$AJ$206</definedName>
    <definedName name="_xlnm.Print_Area" localSheetId="1">Instalações!#REF!</definedName>
    <definedName name="_xlnm.Print_Area" localSheetId="6">'ÚNICA INSTRUÇÃO'!$A$1</definedName>
  </definedNames>
  <calcPr calcId="191029"/>
  <customWorkbookViews>
    <customWorkbookView name="Usuario - Modo de exibição pessoal" guid="{97A6A664-2357-4472-A4F3-F41AC18A86A2}" mergeInterval="0" personalView="1" maximized="1" xWindow="-8" yWindow="-8" windowWidth="1382" windowHeight="744" tabRatio="805" activeSheetId="38"/>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5" i="49" l="1"/>
  <c r="D101" i="38"/>
  <c r="D111" i="38" l="1"/>
  <c r="E111" i="38"/>
  <c r="F111" i="38"/>
  <c r="G111" i="38"/>
  <c r="H111" i="38"/>
  <c r="I111" i="38"/>
  <c r="J111" i="38"/>
  <c r="K111" i="38"/>
  <c r="L111" i="38"/>
  <c r="M111" i="38"/>
  <c r="N111" i="38"/>
  <c r="C111" i="38"/>
  <c r="C112" i="38" l="1"/>
  <c r="E53" i="38" l="1"/>
  <c r="E56" i="38" s="1"/>
  <c r="F53" i="38"/>
  <c r="F56" i="38" s="1"/>
  <c r="G53" i="38"/>
  <c r="G56" i="38" s="1"/>
  <c r="H53" i="38"/>
  <c r="H56" i="38" s="1"/>
  <c r="I53" i="38"/>
  <c r="I56" i="38" s="1"/>
  <c r="J53" i="38"/>
  <c r="J56" i="38" s="1"/>
  <c r="K53" i="38"/>
  <c r="K56" i="38" s="1"/>
  <c r="L53" i="38"/>
  <c r="L56" i="38" s="1"/>
  <c r="M53" i="38"/>
  <c r="M56" i="38" s="1"/>
  <c r="N53" i="38"/>
  <c r="N56" i="38" s="1"/>
  <c r="O82" i="38" l="1"/>
  <c r="O83" i="38"/>
  <c r="C85" i="38"/>
  <c r="D85" i="38"/>
  <c r="E178" i="38" l="1"/>
  <c r="H178" i="38"/>
  <c r="I178" i="38"/>
  <c r="J178" i="38"/>
  <c r="E5" i="13" l="1"/>
  <c r="AC2" i="38"/>
  <c r="AD2" i="38" l="1"/>
  <c r="AE2" i="38" s="1"/>
  <c r="AF2" i="38" s="1"/>
  <c r="AG2" i="38" s="1"/>
  <c r="AH2" i="38" s="1"/>
  <c r="AI2" i="38" s="1"/>
  <c r="AJ2" i="38" s="1"/>
  <c r="D81" i="38"/>
  <c r="D86" i="38" l="1"/>
  <c r="O92" i="38"/>
  <c r="C8" i="49" s="1"/>
  <c r="O98" i="38"/>
  <c r="C109" i="38"/>
  <c r="O108" i="38"/>
  <c r="P6" i="38" l="1"/>
  <c r="C42" i="38"/>
  <c r="D42" i="38"/>
  <c r="O93" i="38" l="1"/>
  <c r="D127" i="38" l="1"/>
  <c r="O103" i="38"/>
  <c r="O99" i="38"/>
  <c r="O100" i="38"/>
  <c r="O94" i="38"/>
  <c r="D105" i="38"/>
  <c r="O101" i="38" l="1"/>
  <c r="O121" i="38" l="1"/>
  <c r="O120" i="38"/>
  <c r="O119" i="38"/>
  <c r="O118" i="38"/>
  <c r="O117" i="38"/>
  <c r="O116" i="38"/>
  <c r="D112" i="38"/>
  <c r="E112" i="38"/>
  <c r="F112" i="38"/>
  <c r="G112" i="38"/>
  <c r="H112" i="38"/>
  <c r="I112" i="38"/>
  <c r="J112" i="38"/>
  <c r="K112" i="38"/>
  <c r="L112" i="38"/>
  <c r="M112" i="38"/>
  <c r="N112" i="38"/>
  <c r="L109" i="38"/>
  <c r="M109" i="38"/>
  <c r="N109" i="38"/>
  <c r="D109" i="38"/>
  <c r="E109" i="38"/>
  <c r="F109" i="38"/>
  <c r="G109" i="38"/>
  <c r="H109" i="38"/>
  <c r="I109" i="38"/>
  <c r="J109" i="38"/>
  <c r="K109" i="38"/>
  <c r="E105" i="38"/>
  <c r="F105" i="38"/>
  <c r="G105" i="38"/>
  <c r="H105" i="38"/>
  <c r="I105" i="38"/>
  <c r="J105" i="38"/>
  <c r="K105" i="38"/>
  <c r="L105" i="38"/>
  <c r="M105" i="38"/>
  <c r="N105" i="38"/>
  <c r="E101" i="38"/>
  <c r="F101" i="38"/>
  <c r="G101" i="38"/>
  <c r="H101" i="38"/>
  <c r="I101" i="38"/>
  <c r="J101" i="38"/>
  <c r="K101" i="38"/>
  <c r="L101" i="38"/>
  <c r="M101" i="38"/>
  <c r="N101" i="38"/>
  <c r="D102" i="38"/>
  <c r="E102" i="38"/>
  <c r="F102" i="38"/>
  <c r="G102" i="38"/>
  <c r="H102" i="38"/>
  <c r="I102" i="38"/>
  <c r="J102" i="38"/>
  <c r="K102" i="38"/>
  <c r="L102" i="38"/>
  <c r="M102" i="38"/>
  <c r="N102" i="38"/>
  <c r="C105" i="38"/>
  <c r="C102" i="38"/>
  <c r="C101" i="38"/>
  <c r="D94" i="38"/>
  <c r="E94" i="38"/>
  <c r="F94" i="38"/>
  <c r="G94" i="38"/>
  <c r="H94" i="38"/>
  <c r="I94" i="38"/>
  <c r="J94" i="38"/>
  <c r="K94" i="38"/>
  <c r="L94" i="38"/>
  <c r="M94" i="38"/>
  <c r="N94" i="38"/>
  <c r="C94" i="38"/>
  <c r="O110" i="38"/>
  <c r="O111" i="38" s="1"/>
  <c r="O109" i="38"/>
  <c r="O107" i="38"/>
  <c r="O105" i="38"/>
  <c r="O102" i="38"/>
  <c r="O88" i="38"/>
  <c r="O87" i="38"/>
  <c r="O84" i="38"/>
  <c r="E85" i="38"/>
  <c r="F85" i="38"/>
  <c r="F86" i="38" s="1"/>
  <c r="G85" i="38"/>
  <c r="G86" i="38" s="1"/>
  <c r="H85" i="38"/>
  <c r="H86" i="38" s="1"/>
  <c r="I85" i="38"/>
  <c r="I86" i="38" s="1"/>
  <c r="J85" i="38"/>
  <c r="K85" i="38"/>
  <c r="K86" i="38" s="1"/>
  <c r="L85" i="38"/>
  <c r="M85" i="38"/>
  <c r="M86" i="38" s="1"/>
  <c r="N85" i="38"/>
  <c r="N89" i="38" s="1"/>
  <c r="E113" i="38" l="1"/>
  <c r="E95" i="38" s="1"/>
  <c r="E89" i="38"/>
  <c r="E104" i="38" s="1"/>
  <c r="O85" i="38"/>
  <c r="I113" i="38"/>
  <c r="I95" i="38" s="1"/>
  <c r="C113" i="38"/>
  <c r="N113" i="38"/>
  <c r="N95" i="38" s="1"/>
  <c r="L89" i="38"/>
  <c r="L97" i="38" s="1"/>
  <c r="M113" i="38"/>
  <c r="M95" i="38" s="1"/>
  <c r="K113" i="38"/>
  <c r="K95" i="38" s="1"/>
  <c r="O112" i="38"/>
  <c r="G113" i="38"/>
  <c r="G95" i="38" s="1"/>
  <c r="F113" i="38"/>
  <c r="F95" i="38" s="1"/>
  <c r="J113" i="38"/>
  <c r="J95" i="38" s="1"/>
  <c r="L113" i="38"/>
  <c r="L95" i="38" s="1"/>
  <c r="H113" i="38"/>
  <c r="H95" i="38" s="1"/>
  <c r="N97" i="38"/>
  <c r="N90" i="38"/>
  <c r="K89" i="38"/>
  <c r="K104" i="38" s="1"/>
  <c r="J89" i="38"/>
  <c r="J104" i="38" s="1"/>
  <c r="N86" i="38"/>
  <c r="L86" i="38"/>
  <c r="I89" i="38"/>
  <c r="J86" i="38"/>
  <c r="H89" i="38"/>
  <c r="H104" i="38" s="1"/>
  <c r="N91" i="38"/>
  <c r="G89" i="38"/>
  <c r="G96" i="38" s="1"/>
  <c r="F89" i="38"/>
  <c r="E86" i="38"/>
  <c r="M89" i="38"/>
  <c r="M104" i="38" s="1"/>
  <c r="E91" i="38"/>
  <c r="N96" i="38"/>
  <c r="N104" i="38"/>
  <c r="D89" i="38"/>
  <c r="D113" i="38"/>
  <c r="D95" i="38" s="1"/>
  <c r="E90" i="38" l="1"/>
  <c r="E114" i="38"/>
  <c r="E96" i="38"/>
  <c r="E97" i="38"/>
  <c r="N114" i="38"/>
  <c r="F104" i="38"/>
  <c r="F96" i="38"/>
  <c r="L96" i="38"/>
  <c r="L90" i="38"/>
  <c r="H97" i="38"/>
  <c r="L104" i="38"/>
  <c r="H96" i="38"/>
  <c r="H90" i="38"/>
  <c r="L114" i="38"/>
  <c r="I114" i="38"/>
  <c r="K90" i="38"/>
  <c r="K97" i="38"/>
  <c r="K96" i="38"/>
  <c r="K114" i="38"/>
  <c r="G104" i="38"/>
  <c r="I96" i="38"/>
  <c r="I104" i="38"/>
  <c r="M91" i="38"/>
  <c r="M114" i="38"/>
  <c r="M96" i="38"/>
  <c r="K91" i="38"/>
  <c r="H114" i="38"/>
  <c r="M90" i="38"/>
  <c r="M97" i="38"/>
  <c r="L91" i="38"/>
  <c r="F97" i="38"/>
  <c r="F90" i="38"/>
  <c r="G91" i="38"/>
  <c r="G97" i="38"/>
  <c r="F91" i="38"/>
  <c r="J97" i="38"/>
  <c r="J90" i="38"/>
  <c r="F114" i="38"/>
  <c r="J96" i="38"/>
  <c r="H91" i="38"/>
  <c r="I97" i="38"/>
  <c r="I90" i="38"/>
  <c r="I91" i="38"/>
  <c r="J114" i="38"/>
  <c r="G90" i="38"/>
  <c r="G114" i="38"/>
  <c r="J91" i="38"/>
  <c r="D104" i="38"/>
  <c r="D96" i="38"/>
  <c r="D90" i="38"/>
  <c r="D97" i="38"/>
  <c r="D91" i="38"/>
  <c r="D114" i="38"/>
  <c r="O181" i="38" l="1"/>
  <c r="C86" i="38" l="1"/>
  <c r="C89" i="38"/>
  <c r="R6" i="38"/>
  <c r="C90" i="38" l="1"/>
  <c r="C97" i="38"/>
  <c r="C104" i="38"/>
  <c r="O104" i="38" s="1"/>
  <c r="C96" i="38"/>
  <c r="C114" i="38"/>
  <c r="O89" i="38"/>
  <c r="C91" i="38"/>
  <c r="O86" i="38"/>
  <c r="O96" i="38" l="1"/>
  <c r="O97" i="38"/>
  <c r="O90" i="38"/>
  <c r="O91" i="38"/>
  <c r="D129" i="38"/>
  <c r="E129" i="38"/>
  <c r="F129" i="38"/>
  <c r="G129" i="38"/>
  <c r="H129" i="38"/>
  <c r="I129" i="38"/>
  <c r="J129" i="38"/>
  <c r="K129" i="38"/>
  <c r="L129" i="38"/>
  <c r="M129" i="38"/>
  <c r="N129" i="38"/>
  <c r="C129" i="38"/>
  <c r="D128" i="38"/>
  <c r="E128" i="38"/>
  <c r="F128" i="38"/>
  <c r="G128" i="38"/>
  <c r="H128" i="38"/>
  <c r="I128" i="38"/>
  <c r="J128" i="38"/>
  <c r="K128" i="38"/>
  <c r="L128" i="38"/>
  <c r="M128" i="38"/>
  <c r="N128" i="38"/>
  <c r="C128" i="38"/>
  <c r="E127" i="38"/>
  <c r="F127" i="38"/>
  <c r="G127" i="38"/>
  <c r="H127" i="38"/>
  <c r="I127" i="38"/>
  <c r="J127" i="38"/>
  <c r="K127" i="38"/>
  <c r="L127" i="38"/>
  <c r="M127" i="38"/>
  <c r="N127" i="38"/>
  <c r="C127" i="38"/>
  <c r="I148" i="38" l="1"/>
  <c r="H148" i="38"/>
  <c r="I124" i="38"/>
  <c r="H124" i="38"/>
  <c r="I79" i="38"/>
  <c r="H79" i="38"/>
  <c r="I45" i="38"/>
  <c r="H45" i="38"/>
  <c r="O113" i="38" l="1"/>
  <c r="O95" i="38" s="1"/>
  <c r="C95" i="38"/>
  <c r="E21" i="4"/>
  <c r="F20" i="4"/>
  <c r="F19" i="4"/>
  <c r="F18" i="4"/>
  <c r="F17" i="4"/>
  <c r="F16" i="4"/>
  <c r="G16" i="4" s="1"/>
  <c r="H16" i="4" s="1"/>
  <c r="F15" i="4"/>
  <c r="G15" i="4" s="1"/>
  <c r="H15" i="4" s="1"/>
  <c r="F14" i="4"/>
  <c r="F13" i="4"/>
  <c r="F12" i="4"/>
  <c r="F11" i="4"/>
  <c r="F10" i="4"/>
  <c r="F9" i="4"/>
  <c r="F8" i="4"/>
  <c r="F7" i="4"/>
  <c r="F6" i="4"/>
  <c r="G6" i="4" s="1"/>
  <c r="H6" i="4" s="1"/>
  <c r="F5" i="4"/>
  <c r="F4" i="4"/>
  <c r="D22" i="13"/>
  <c r="E21" i="13"/>
  <c r="E20" i="13"/>
  <c r="E19" i="13"/>
  <c r="E18" i="13"/>
  <c r="F18" i="13" s="1"/>
  <c r="G18" i="13" s="1"/>
  <c r="E17" i="13"/>
  <c r="E16" i="13"/>
  <c r="E15" i="13"/>
  <c r="F15" i="13" s="1"/>
  <c r="G15" i="13" s="1"/>
  <c r="E14" i="13"/>
  <c r="E13" i="13"/>
  <c r="E12" i="13"/>
  <c r="E11" i="13"/>
  <c r="E10" i="13"/>
  <c r="E9" i="13"/>
  <c r="E8" i="13"/>
  <c r="E7" i="13"/>
  <c r="E6" i="13"/>
  <c r="E4" i="13"/>
  <c r="F4" i="13" s="1"/>
  <c r="C6" i="49"/>
  <c r="A6" i="49"/>
  <c r="A3" i="49"/>
  <c r="A2" i="49"/>
  <c r="A1" i="49"/>
  <c r="C22" i="49"/>
  <c r="C21" i="49"/>
  <c r="F21" i="13" l="1"/>
  <c r="G21" i="13" s="1"/>
  <c r="F19" i="13"/>
  <c r="G19" i="13" s="1"/>
  <c r="F20" i="13"/>
  <c r="G20" i="13" s="1"/>
  <c r="G13" i="4"/>
  <c r="H13" i="4" s="1"/>
  <c r="G10" i="4"/>
  <c r="H10" i="4" s="1"/>
  <c r="G14" i="4"/>
  <c r="H14" i="4" s="1"/>
  <c r="G17" i="4"/>
  <c r="H17" i="4" s="1"/>
  <c r="G7" i="4"/>
  <c r="H7" i="4" s="1"/>
  <c r="G18" i="4"/>
  <c r="H18" i="4" s="1"/>
  <c r="G5" i="4"/>
  <c r="H5" i="4" s="1"/>
  <c r="G8" i="4"/>
  <c r="H8" i="4" s="1"/>
  <c r="G19" i="4"/>
  <c r="H19" i="4" s="1"/>
  <c r="G9" i="4"/>
  <c r="H9" i="4" s="1"/>
  <c r="F6" i="13"/>
  <c r="G6" i="13" s="1"/>
  <c r="F8" i="13"/>
  <c r="G8" i="13" s="1"/>
  <c r="F10" i="13"/>
  <c r="G10" i="13" s="1"/>
  <c r="F12" i="13"/>
  <c r="G12" i="13" s="1"/>
  <c r="F14" i="13"/>
  <c r="G14" i="13" s="1"/>
  <c r="F17" i="13"/>
  <c r="G17" i="13" s="1"/>
  <c r="F7" i="13"/>
  <c r="G7" i="13" s="1"/>
  <c r="F9" i="13"/>
  <c r="G9" i="13" s="1"/>
  <c r="F11" i="13"/>
  <c r="G11" i="13" s="1"/>
  <c r="F13" i="13"/>
  <c r="G13" i="13" s="1"/>
  <c r="F16" i="13"/>
  <c r="G16" i="13" s="1"/>
  <c r="G12" i="4"/>
  <c r="H12" i="4" s="1"/>
  <c r="F5" i="13"/>
  <c r="G5" i="13" s="1"/>
  <c r="G20" i="4"/>
  <c r="H20" i="4" s="1"/>
  <c r="G11" i="4"/>
  <c r="H11" i="4" s="1"/>
  <c r="G4" i="4"/>
  <c r="H4" i="4" s="1"/>
  <c r="G4" i="13"/>
  <c r="F22" i="13" l="1"/>
  <c r="L136" i="38" s="1"/>
  <c r="G21" i="4"/>
  <c r="I135" i="38" s="1"/>
  <c r="C9" i="49"/>
  <c r="E148" i="38"/>
  <c r="E124" i="38"/>
  <c r="E79" i="38"/>
  <c r="E45" i="38"/>
  <c r="I136" i="38" l="1"/>
  <c r="C136" i="38"/>
  <c r="K136" i="38"/>
  <c r="M136" i="38"/>
  <c r="N136" i="38"/>
  <c r="D136" i="38"/>
  <c r="J136" i="38"/>
  <c r="H136" i="38"/>
  <c r="G136" i="38"/>
  <c r="F136" i="38"/>
  <c r="E136" i="38"/>
  <c r="F135" i="38"/>
  <c r="C135" i="38"/>
  <c r="J135" i="38"/>
  <c r="N135" i="38"/>
  <c r="H135" i="38"/>
  <c r="L135" i="38"/>
  <c r="E135" i="38"/>
  <c r="D135" i="38"/>
  <c r="K135" i="38"/>
  <c r="M135" i="38"/>
  <c r="G135" i="38"/>
  <c r="C12" i="49"/>
  <c r="C10" i="49"/>
  <c r="P102" i="38"/>
  <c r="P101" i="38"/>
  <c r="P94" i="38"/>
  <c r="A123" i="38"/>
  <c r="A178" i="38"/>
  <c r="A148" i="38"/>
  <c r="A124" i="38"/>
  <c r="A79" i="38"/>
  <c r="A45" i="38"/>
  <c r="J148" i="38"/>
  <c r="J124" i="38"/>
  <c r="J79" i="38"/>
  <c r="J45" i="38"/>
  <c r="F4" i="14"/>
  <c r="C53" i="38"/>
  <c r="C65" i="38"/>
  <c r="C130" i="38" s="1"/>
  <c r="C71" i="38"/>
  <c r="D65" i="38"/>
  <c r="D130" i="38" s="1"/>
  <c r="D71" i="38"/>
  <c r="D53" i="38"/>
  <c r="D56" i="38" s="1"/>
  <c r="E65" i="38"/>
  <c r="E130" i="38" s="1"/>
  <c r="E71" i="38"/>
  <c r="E42" i="38"/>
  <c r="F65" i="38"/>
  <c r="F130" i="38" s="1"/>
  <c r="F71" i="38"/>
  <c r="F42" i="38"/>
  <c r="G65" i="38"/>
  <c r="G130" i="38" s="1"/>
  <c r="G71" i="38"/>
  <c r="G42" i="38"/>
  <c r="H65" i="38"/>
  <c r="H130" i="38" s="1"/>
  <c r="H71" i="38"/>
  <c r="H42" i="38"/>
  <c r="I65" i="38"/>
  <c r="I130" i="38" s="1"/>
  <c r="I71" i="38"/>
  <c r="I42" i="38"/>
  <c r="J65" i="38"/>
  <c r="J130" i="38" s="1"/>
  <c r="J71" i="38"/>
  <c r="J42" i="38"/>
  <c r="K65" i="38"/>
  <c r="K130" i="38" s="1"/>
  <c r="K71" i="38"/>
  <c r="K42" i="38"/>
  <c r="L65" i="38"/>
  <c r="L130" i="38" s="1"/>
  <c r="L71" i="38"/>
  <c r="L42" i="38"/>
  <c r="M65" i="38"/>
  <c r="M130" i="38" s="1"/>
  <c r="M71" i="38"/>
  <c r="M106" i="38" s="1"/>
  <c r="M42" i="38"/>
  <c r="N65" i="38"/>
  <c r="N130" i="38" s="1"/>
  <c r="N71" i="38"/>
  <c r="N42" i="38"/>
  <c r="O76" i="38"/>
  <c r="E177" i="38"/>
  <c r="E176" i="38"/>
  <c r="A177" i="38"/>
  <c r="A176" i="38"/>
  <c r="E123" i="38"/>
  <c r="E122" i="38"/>
  <c r="A122" i="38"/>
  <c r="D180" i="38"/>
  <c r="E180" i="38"/>
  <c r="F180" i="38"/>
  <c r="G180" i="38"/>
  <c r="H180" i="38"/>
  <c r="I180" i="38"/>
  <c r="J180" i="38"/>
  <c r="K180" i="38"/>
  <c r="L180" i="38"/>
  <c r="M180" i="38"/>
  <c r="N180" i="38"/>
  <c r="C180" i="38"/>
  <c r="C126" i="38"/>
  <c r="D126" i="38"/>
  <c r="E126" i="38"/>
  <c r="F126" i="38"/>
  <c r="G126" i="38"/>
  <c r="H126" i="38"/>
  <c r="I126" i="38"/>
  <c r="J126" i="38"/>
  <c r="K126" i="38"/>
  <c r="L126" i="38"/>
  <c r="M126" i="38"/>
  <c r="N126" i="38"/>
  <c r="E4" i="3"/>
  <c r="F4" i="3"/>
  <c r="F5" i="3"/>
  <c r="F6" i="3"/>
  <c r="F7" i="3"/>
  <c r="F8" i="3"/>
  <c r="F9" i="3"/>
  <c r="E5" i="3"/>
  <c r="E6" i="3"/>
  <c r="E7" i="3"/>
  <c r="E8" i="3"/>
  <c r="E9" i="3"/>
  <c r="C10" i="3"/>
  <c r="P7" i="38"/>
  <c r="P8" i="38"/>
  <c r="P9" i="38"/>
  <c r="P10" i="38"/>
  <c r="P11" i="38"/>
  <c r="P12" i="38"/>
  <c r="P13" i="38"/>
  <c r="P14" i="38"/>
  <c r="P15" i="38"/>
  <c r="P16" i="38"/>
  <c r="P17" i="38"/>
  <c r="P18" i="38"/>
  <c r="P19" i="38"/>
  <c r="P20" i="38"/>
  <c r="P21" i="38"/>
  <c r="P22" i="38"/>
  <c r="P23" i="38"/>
  <c r="P24" i="38"/>
  <c r="P25" i="38"/>
  <c r="P26" i="38"/>
  <c r="P27" i="38"/>
  <c r="P28" i="38"/>
  <c r="P29" i="38"/>
  <c r="P30" i="38"/>
  <c r="P31" i="38"/>
  <c r="P32" i="38"/>
  <c r="P33" i="38"/>
  <c r="P34" i="38"/>
  <c r="P35" i="38"/>
  <c r="P36" i="38"/>
  <c r="P37" i="38"/>
  <c r="P38" i="38"/>
  <c r="P39" i="38"/>
  <c r="P40" i="38"/>
  <c r="P41" i="38"/>
  <c r="A43" i="38"/>
  <c r="E43" i="38"/>
  <c r="A44" i="38"/>
  <c r="E44" i="38"/>
  <c r="J44" i="38"/>
  <c r="C47" i="38"/>
  <c r="D47" i="38"/>
  <c r="E47" i="38"/>
  <c r="F47" i="38"/>
  <c r="G47" i="38"/>
  <c r="H47" i="38"/>
  <c r="I47" i="38"/>
  <c r="J47" i="38"/>
  <c r="K47" i="38"/>
  <c r="L47" i="38"/>
  <c r="M47" i="38"/>
  <c r="N47" i="38"/>
  <c r="P49" i="38"/>
  <c r="P50" i="38"/>
  <c r="P51" i="38"/>
  <c r="P52" i="38"/>
  <c r="P54" i="38"/>
  <c r="P55" i="38"/>
  <c r="C61" i="38"/>
  <c r="D61" i="38"/>
  <c r="E61" i="38"/>
  <c r="F61" i="38"/>
  <c r="G61" i="38"/>
  <c r="H61" i="38"/>
  <c r="I61" i="38"/>
  <c r="J61" i="38"/>
  <c r="K61" i="38"/>
  <c r="L61" i="38"/>
  <c r="M61" i="38"/>
  <c r="N61" i="38"/>
  <c r="P62" i="38"/>
  <c r="O127" i="38" s="1"/>
  <c r="P63" i="38"/>
  <c r="O128" i="38" s="1"/>
  <c r="P64" i="38"/>
  <c r="O129" i="38" s="1"/>
  <c r="P67" i="38"/>
  <c r="P68" i="38"/>
  <c r="P69" i="38"/>
  <c r="P70" i="38"/>
  <c r="P72" i="38"/>
  <c r="P73" i="38"/>
  <c r="P74" i="38"/>
  <c r="A77" i="38"/>
  <c r="E77" i="38"/>
  <c r="A78" i="38"/>
  <c r="E78" i="38"/>
  <c r="J78" i="38"/>
  <c r="C81" i="38"/>
  <c r="E81" i="38"/>
  <c r="F81" i="38"/>
  <c r="G81" i="38"/>
  <c r="H81" i="38"/>
  <c r="I81" i="38"/>
  <c r="J81" i="38"/>
  <c r="K81" i="38"/>
  <c r="L81" i="38"/>
  <c r="M81" i="38"/>
  <c r="N81" i="38"/>
  <c r="A146" i="38"/>
  <c r="E146" i="38"/>
  <c r="A147" i="38"/>
  <c r="E147" i="38"/>
  <c r="J147" i="38"/>
  <c r="C150" i="38"/>
  <c r="D150" i="38"/>
  <c r="E150" i="38"/>
  <c r="F150" i="38"/>
  <c r="G150" i="38"/>
  <c r="H150" i="38"/>
  <c r="I150" i="38"/>
  <c r="J150" i="38"/>
  <c r="K150" i="38"/>
  <c r="L150" i="38"/>
  <c r="M150" i="38"/>
  <c r="N150" i="38"/>
  <c r="E4" i="14"/>
  <c r="M115" i="38" l="1"/>
  <c r="O136" i="38"/>
  <c r="O135" i="38"/>
  <c r="N106" i="38"/>
  <c r="N115" i="38" s="1"/>
  <c r="F106" i="38"/>
  <c r="F115" i="38" s="1"/>
  <c r="J106" i="38"/>
  <c r="H106" i="38"/>
  <c r="H115" i="38" s="1"/>
  <c r="L106" i="38"/>
  <c r="L115" i="38" s="1"/>
  <c r="D106" i="38"/>
  <c r="C106" i="38"/>
  <c r="K106" i="38"/>
  <c r="K115" i="38" s="1"/>
  <c r="I106" i="38"/>
  <c r="I115" i="38" s="1"/>
  <c r="G106" i="38"/>
  <c r="G115" i="38" s="1"/>
  <c r="E106" i="38"/>
  <c r="E115" i="38" s="1"/>
  <c r="R37" i="38"/>
  <c r="S37" i="38"/>
  <c r="R29" i="38"/>
  <c r="S29" i="38"/>
  <c r="R21" i="38"/>
  <c r="S21" i="38"/>
  <c r="R13" i="38"/>
  <c r="S13" i="38"/>
  <c r="R14" i="38"/>
  <c r="S14" i="38"/>
  <c r="R36" i="38"/>
  <c r="S36" i="38"/>
  <c r="R28" i="38"/>
  <c r="S28" i="38"/>
  <c r="R20" i="38"/>
  <c r="S20" i="38"/>
  <c r="R12" i="38"/>
  <c r="S12" i="38"/>
  <c r="R27" i="38"/>
  <c r="S27" i="38"/>
  <c r="R19" i="38"/>
  <c r="S19" i="38"/>
  <c r="R11" i="38"/>
  <c r="S11" i="38"/>
  <c r="M183" i="38"/>
  <c r="M186" i="38"/>
  <c r="M187" i="38" s="1"/>
  <c r="M152" i="38"/>
  <c r="M155" i="38"/>
  <c r="M156" i="38" s="1"/>
  <c r="K186" i="38"/>
  <c r="K187" i="38" s="1"/>
  <c r="K183" i="38"/>
  <c r="K152" i="38"/>
  <c r="K155" i="38"/>
  <c r="K156" i="38" s="1"/>
  <c r="I183" i="38"/>
  <c r="I186" i="38"/>
  <c r="I187" i="38" s="1"/>
  <c r="I155" i="38"/>
  <c r="I156" i="38" s="1"/>
  <c r="I152" i="38"/>
  <c r="G183" i="38"/>
  <c r="G186" i="38"/>
  <c r="G187" i="38" s="1"/>
  <c r="G155" i="38"/>
  <c r="G156" i="38" s="1"/>
  <c r="G152" i="38"/>
  <c r="E183" i="38"/>
  <c r="E186" i="38"/>
  <c r="E187" i="38" s="1"/>
  <c r="E152" i="38"/>
  <c r="E155" i="38"/>
  <c r="E156" i="38" s="1"/>
  <c r="R30" i="38"/>
  <c r="S30" i="38"/>
  <c r="R35" i="38"/>
  <c r="S35" i="38"/>
  <c r="R34" i="38"/>
  <c r="S34" i="38"/>
  <c r="R26" i="38"/>
  <c r="S26" i="38"/>
  <c r="R18" i="38"/>
  <c r="S18" i="38"/>
  <c r="R10" i="38"/>
  <c r="S10" i="38"/>
  <c r="R22" i="38"/>
  <c r="S22" i="38"/>
  <c r="R41" i="38"/>
  <c r="S41" i="38"/>
  <c r="R33" i="38"/>
  <c r="S33" i="38"/>
  <c r="R25" i="38"/>
  <c r="S25" i="38"/>
  <c r="R17" i="38"/>
  <c r="S17" i="38"/>
  <c r="R9" i="38"/>
  <c r="S9" i="38"/>
  <c r="C183" i="38"/>
  <c r="C186" i="38"/>
  <c r="C187" i="38" s="1"/>
  <c r="C155" i="38"/>
  <c r="C156" i="38" s="1"/>
  <c r="C152" i="38"/>
  <c r="R38" i="38"/>
  <c r="S38" i="38"/>
  <c r="R40" i="38"/>
  <c r="S40" i="38"/>
  <c r="R32" i="38"/>
  <c r="S32" i="38"/>
  <c r="R24" i="38"/>
  <c r="S24" i="38"/>
  <c r="R16" i="38"/>
  <c r="S16" i="38"/>
  <c r="R8" i="38"/>
  <c r="S8" i="38"/>
  <c r="R39" i="38"/>
  <c r="S39" i="38"/>
  <c r="R31" i="38"/>
  <c r="S31" i="38"/>
  <c r="R23" i="38"/>
  <c r="S23" i="38"/>
  <c r="R15" i="38"/>
  <c r="S15" i="38"/>
  <c r="R7" i="38"/>
  <c r="S7" i="38"/>
  <c r="N183" i="38"/>
  <c r="N186" i="38"/>
  <c r="N187" i="38" s="1"/>
  <c r="N152" i="38"/>
  <c r="N155" i="38"/>
  <c r="N156" i="38" s="1"/>
  <c r="L186" i="38"/>
  <c r="L187" i="38" s="1"/>
  <c r="L183" i="38"/>
  <c r="L152" i="38"/>
  <c r="L155" i="38"/>
  <c r="L156" i="38" s="1"/>
  <c r="J186" i="38"/>
  <c r="J187" i="38" s="1"/>
  <c r="J183" i="38"/>
  <c r="J152" i="38"/>
  <c r="J155" i="38"/>
  <c r="J156" i="38" s="1"/>
  <c r="H183" i="38"/>
  <c r="H186" i="38"/>
  <c r="H187" i="38" s="1"/>
  <c r="H155" i="38"/>
  <c r="H156" i="38" s="1"/>
  <c r="H152" i="38"/>
  <c r="F183" i="38"/>
  <c r="F186" i="38"/>
  <c r="F187" i="38" s="1"/>
  <c r="F152" i="38"/>
  <c r="F155" i="38"/>
  <c r="F156" i="38" s="1"/>
  <c r="S6" i="38"/>
  <c r="D183" i="38"/>
  <c r="D186" i="38"/>
  <c r="D152" i="38"/>
  <c r="D155" i="38"/>
  <c r="D75" i="38"/>
  <c r="F10" i="3"/>
  <c r="M137" i="38" s="1"/>
  <c r="E10" i="3"/>
  <c r="B2" i="48" s="1"/>
  <c r="L58" i="38"/>
  <c r="P42" i="38"/>
  <c r="O15" i="38" s="1"/>
  <c r="F138" i="38"/>
  <c r="J138" i="38"/>
  <c r="N138" i="38"/>
  <c r="E138" i="38"/>
  <c r="I138" i="38"/>
  <c r="M138" i="38"/>
  <c r="D138" i="38"/>
  <c r="H138" i="38"/>
  <c r="L138" i="38"/>
  <c r="G138" i="38"/>
  <c r="K138" i="38"/>
  <c r="C138" i="38"/>
  <c r="C75" i="38"/>
  <c r="C133" i="38" s="1"/>
  <c r="N75" i="38"/>
  <c r="H75" i="38"/>
  <c r="H133" i="38" s="1"/>
  <c r="N58" i="38"/>
  <c r="M58" i="38"/>
  <c r="L75" i="38"/>
  <c r="L133" i="38" s="1"/>
  <c r="K75" i="38"/>
  <c r="K133" i="38" s="1"/>
  <c r="I75" i="38"/>
  <c r="I133" i="38" s="1"/>
  <c r="F75" i="38"/>
  <c r="F133" i="38" s="1"/>
  <c r="P71" i="38"/>
  <c r="G75" i="38"/>
  <c r="G133" i="38" s="1"/>
  <c r="J75" i="38"/>
  <c r="J133" i="38" s="1"/>
  <c r="K58" i="38"/>
  <c r="I58" i="38"/>
  <c r="G58" i="38"/>
  <c r="E58" i="38"/>
  <c r="J58" i="38"/>
  <c r="F58" i="38"/>
  <c r="C56" i="38"/>
  <c r="P53" i="38"/>
  <c r="H58" i="38"/>
  <c r="D58" i="38"/>
  <c r="D188" i="38" s="1"/>
  <c r="M75" i="38"/>
  <c r="M133" i="38" s="1"/>
  <c r="E75" i="38"/>
  <c r="P65" i="38"/>
  <c r="O130" i="38" s="1"/>
  <c r="C11" i="49"/>
  <c r="N133" i="38" l="1"/>
  <c r="O28" i="38"/>
  <c r="O30" i="38"/>
  <c r="O27" i="38"/>
  <c r="O33" i="38"/>
  <c r="O22" i="38"/>
  <c r="O20" i="38"/>
  <c r="C115" i="38"/>
  <c r="O106" i="38"/>
  <c r="O40" i="38"/>
  <c r="O24" i="38"/>
  <c r="O25" i="38"/>
  <c r="O17" i="38"/>
  <c r="O35" i="38"/>
  <c r="O23" i="38"/>
  <c r="O34" i="38"/>
  <c r="O16" i="38"/>
  <c r="O36" i="38"/>
  <c r="O32" i="38"/>
  <c r="O18" i="38"/>
  <c r="O31" i="38"/>
  <c r="O29" i="38"/>
  <c r="O26" i="38"/>
  <c r="O38" i="38"/>
  <c r="O19" i="38"/>
  <c r="O39" i="38"/>
  <c r="O7" i="38"/>
  <c r="O21" i="38"/>
  <c r="O8" i="38"/>
  <c r="O14" i="38"/>
  <c r="O13" i="38"/>
  <c r="O41" i="38"/>
  <c r="O9" i="38"/>
  <c r="O11" i="38"/>
  <c r="E133" i="38"/>
  <c r="E131" i="38"/>
  <c r="E132" i="38" s="1"/>
  <c r="I137" i="38"/>
  <c r="I169" i="38" s="1"/>
  <c r="I170" i="38" s="1"/>
  <c r="E137" i="38"/>
  <c r="E197" i="38" s="1"/>
  <c r="E199" i="38" s="1"/>
  <c r="O37" i="38"/>
  <c r="L137" i="38"/>
  <c r="L197" i="38" s="1"/>
  <c r="L199" i="38" s="1"/>
  <c r="K137" i="38"/>
  <c r="K169" i="38" s="1"/>
  <c r="K170" i="38" s="1"/>
  <c r="H137" i="38"/>
  <c r="H169" i="38" s="1"/>
  <c r="H170" i="38" s="1"/>
  <c r="J137" i="38"/>
  <c r="J166" i="38" s="1"/>
  <c r="J167" i="38" s="1"/>
  <c r="D137" i="38"/>
  <c r="D169" i="38" s="1"/>
  <c r="D170" i="38" s="1"/>
  <c r="C137" i="38"/>
  <c r="C197" i="38" s="1"/>
  <c r="D133" i="38"/>
  <c r="D163" i="38"/>
  <c r="D165" i="38" s="1"/>
  <c r="J115" i="38"/>
  <c r="N137" i="38"/>
  <c r="N169" i="38" s="1"/>
  <c r="N170" i="38" s="1"/>
  <c r="F137" i="38"/>
  <c r="F169" i="38" s="1"/>
  <c r="F170" i="38" s="1"/>
  <c r="G137" i="38"/>
  <c r="G169" i="38" s="1"/>
  <c r="G170" i="38" s="1"/>
  <c r="D115" i="38"/>
  <c r="J163" i="38"/>
  <c r="J165" i="38" s="1"/>
  <c r="N142" i="38"/>
  <c r="F163" i="38"/>
  <c r="F165" i="38" s="1"/>
  <c r="N163" i="38"/>
  <c r="F142" i="38"/>
  <c r="L194" i="38"/>
  <c r="L196" i="38" s="1"/>
  <c r="G163" i="38"/>
  <c r="G165" i="38" s="1"/>
  <c r="I142" i="38"/>
  <c r="J194" i="38"/>
  <c r="J196" i="38" s="1"/>
  <c r="C164" i="38"/>
  <c r="E163" i="38"/>
  <c r="E165" i="38" s="1"/>
  <c r="G142" i="38"/>
  <c r="M163" i="38"/>
  <c r="M165" i="38" s="1"/>
  <c r="F164" i="38"/>
  <c r="H164" i="38"/>
  <c r="J164" i="38"/>
  <c r="L164" i="38"/>
  <c r="N164" i="38"/>
  <c r="E194" i="38"/>
  <c r="E196" i="38" s="1"/>
  <c r="G194" i="38"/>
  <c r="G196" i="38" s="1"/>
  <c r="L142" i="38"/>
  <c r="K194" i="38"/>
  <c r="K196" i="38" s="1"/>
  <c r="M194" i="38"/>
  <c r="M196" i="38" s="1"/>
  <c r="H163" i="38"/>
  <c r="H165" i="38" s="1"/>
  <c r="J142" i="38"/>
  <c r="C142" i="38"/>
  <c r="I194" i="38"/>
  <c r="I196" i="38" s="1"/>
  <c r="H142" i="38"/>
  <c r="C163" i="38"/>
  <c r="C165" i="38" s="1"/>
  <c r="E164" i="38"/>
  <c r="G164" i="38"/>
  <c r="I164" i="38"/>
  <c r="K164" i="38"/>
  <c r="M164" i="38"/>
  <c r="L163" i="38"/>
  <c r="L165" i="38" s="1"/>
  <c r="E142" i="38"/>
  <c r="K163" i="38"/>
  <c r="K165" i="38" s="1"/>
  <c r="M142" i="38"/>
  <c r="F194" i="38"/>
  <c r="F196" i="38" s="1"/>
  <c r="H194" i="38"/>
  <c r="H196" i="38" s="1"/>
  <c r="N194" i="38"/>
  <c r="N196" i="38" s="1"/>
  <c r="C194" i="38"/>
  <c r="C195" i="38" s="1"/>
  <c r="I163" i="38"/>
  <c r="I165" i="38" s="1"/>
  <c r="K142" i="38"/>
  <c r="O12" i="38"/>
  <c r="F159" i="38"/>
  <c r="F160" i="38" s="1"/>
  <c r="F143" i="38"/>
  <c r="F131" i="38"/>
  <c r="F132" i="38" s="1"/>
  <c r="F190" i="38"/>
  <c r="F191" i="38" s="1"/>
  <c r="K159" i="38"/>
  <c r="K160" i="38" s="1"/>
  <c r="K143" i="38"/>
  <c r="K131" i="38"/>
  <c r="K132" i="38" s="1"/>
  <c r="K190" i="38"/>
  <c r="K191" i="38" s="1"/>
  <c r="M159" i="38"/>
  <c r="M160" i="38" s="1"/>
  <c r="M143" i="38"/>
  <c r="M131" i="38"/>
  <c r="M132" i="38" s="1"/>
  <c r="M190" i="38"/>
  <c r="M191" i="38" s="1"/>
  <c r="J159" i="38"/>
  <c r="J160" i="38" s="1"/>
  <c r="J143" i="38"/>
  <c r="J131" i="38"/>
  <c r="J132" i="38" s="1"/>
  <c r="J190" i="38"/>
  <c r="J191" i="38" s="1"/>
  <c r="N159" i="38"/>
  <c r="N160" i="38" s="1"/>
  <c r="N143" i="38"/>
  <c r="N131" i="38"/>
  <c r="N132" i="38" s="1"/>
  <c r="N190" i="38"/>
  <c r="N191" i="38" s="1"/>
  <c r="H159" i="38"/>
  <c r="H160" i="38" s="1"/>
  <c r="H143" i="38"/>
  <c r="H131" i="38"/>
  <c r="H132" i="38" s="1"/>
  <c r="H190" i="38"/>
  <c r="H191" i="38" s="1"/>
  <c r="E159" i="38"/>
  <c r="E160" i="38" s="1"/>
  <c r="E143" i="38"/>
  <c r="E190" i="38"/>
  <c r="E191" i="38" s="1"/>
  <c r="I159" i="38"/>
  <c r="I160" i="38" s="1"/>
  <c r="I143" i="38"/>
  <c r="I131" i="38"/>
  <c r="I132" i="38" s="1"/>
  <c r="I190" i="38"/>
  <c r="I191" i="38" s="1"/>
  <c r="G159" i="38"/>
  <c r="G160" i="38" s="1"/>
  <c r="G143" i="38"/>
  <c r="G131" i="38"/>
  <c r="G132" i="38" s="1"/>
  <c r="G190" i="38"/>
  <c r="G191" i="38" s="1"/>
  <c r="L159" i="38"/>
  <c r="L160" i="38" s="1"/>
  <c r="L143" i="38"/>
  <c r="L131" i="38"/>
  <c r="L132" i="38" s="1"/>
  <c r="L190" i="38"/>
  <c r="L191" i="38" s="1"/>
  <c r="O6" i="38"/>
  <c r="O151" i="38"/>
  <c r="D164" i="38"/>
  <c r="D142" i="38"/>
  <c r="D194" i="38"/>
  <c r="D196" i="38" s="1"/>
  <c r="O186" i="38"/>
  <c r="D187" i="38"/>
  <c r="O187" i="38" s="1"/>
  <c r="O155" i="38"/>
  <c r="D156" i="38"/>
  <c r="O156" i="38" s="1"/>
  <c r="D159" i="38"/>
  <c r="D143" i="38"/>
  <c r="D131" i="38"/>
  <c r="D190" i="38"/>
  <c r="R42" i="38"/>
  <c r="S42" i="38"/>
  <c r="M169" i="38"/>
  <c r="M170" i="38" s="1"/>
  <c r="M197" i="38"/>
  <c r="M199" i="38" s="1"/>
  <c r="M166" i="38"/>
  <c r="M167" i="38" s="1"/>
  <c r="O138" i="38"/>
  <c r="O139" i="38"/>
  <c r="E185" i="38"/>
  <c r="E154" i="38"/>
  <c r="M185" i="38"/>
  <c r="M154" i="38"/>
  <c r="F182" i="38"/>
  <c r="F188" i="38"/>
  <c r="F184" i="38"/>
  <c r="F189" i="38"/>
  <c r="F157" i="38"/>
  <c r="F153" i="38"/>
  <c r="F158" i="38"/>
  <c r="F151" i="38"/>
  <c r="K189" i="38"/>
  <c r="K182" i="38"/>
  <c r="K188" i="38"/>
  <c r="K184" i="38"/>
  <c r="K158" i="38"/>
  <c r="K151" i="38"/>
  <c r="K157" i="38"/>
  <c r="K153" i="38"/>
  <c r="L184" i="38"/>
  <c r="L189" i="38"/>
  <c r="L182" i="38"/>
  <c r="L188" i="38"/>
  <c r="L158" i="38"/>
  <c r="L151" i="38"/>
  <c r="L157" i="38"/>
  <c r="L153" i="38"/>
  <c r="E184" i="38"/>
  <c r="E189" i="38"/>
  <c r="E182" i="38"/>
  <c r="E188" i="38"/>
  <c r="E158" i="38"/>
  <c r="E151" i="38"/>
  <c r="E157" i="38"/>
  <c r="E153" i="38"/>
  <c r="H184" i="38"/>
  <c r="H189" i="38"/>
  <c r="H182" i="38"/>
  <c r="H188" i="38"/>
  <c r="H158" i="38"/>
  <c r="H151" i="38"/>
  <c r="H157" i="38"/>
  <c r="H153" i="38"/>
  <c r="I184" i="38"/>
  <c r="I189" i="38"/>
  <c r="I182" i="38"/>
  <c r="I188" i="38"/>
  <c r="I158" i="38"/>
  <c r="I151" i="38"/>
  <c r="I157" i="38"/>
  <c r="I153" i="38"/>
  <c r="N185" i="38"/>
  <c r="N154" i="38"/>
  <c r="H185" i="38"/>
  <c r="H154" i="38"/>
  <c r="J182" i="38"/>
  <c r="J188" i="38"/>
  <c r="J184" i="38"/>
  <c r="J189" i="38"/>
  <c r="J157" i="38"/>
  <c r="J153" i="38"/>
  <c r="J158" i="38"/>
  <c r="J151" i="38"/>
  <c r="I185" i="38"/>
  <c r="I154" i="38"/>
  <c r="F185" i="38"/>
  <c r="F154" i="38"/>
  <c r="L185" i="38"/>
  <c r="L154" i="38"/>
  <c r="G185" i="38"/>
  <c r="G154" i="38"/>
  <c r="N182" i="38"/>
  <c r="N188" i="38"/>
  <c r="N184" i="38"/>
  <c r="N189" i="38"/>
  <c r="N157" i="38"/>
  <c r="N153" i="38"/>
  <c r="N158" i="38"/>
  <c r="N151" i="38"/>
  <c r="K185" i="38"/>
  <c r="K154" i="38"/>
  <c r="D182" i="38"/>
  <c r="D151" i="38"/>
  <c r="D157" i="38"/>
  <c r="J185" i="38"/>
  <c r="J154" i="38"/>
  <c r="G189" i="38"/>
  <c r="G182" i="38"/>
  <c r="G188" i="38"/>
  <c r="G184" i="38"/>
  <c r="G158" i="38"/>
  <c r="G151" i="38"/>
  <c r="G157" i="38"/>
  <c r="G153" i="38"/>
  <c r="M193" i="38"/>
  <c r="M184" i="38"/>
  <c r="M192" i="38"/>
  <c r="M189" i="38"/>
  <c r="M182" i="38"/>
  <c r="M188" i="38"/>
  <c r="M161" i="38"/>
  <c r="M168" i="38"/>
  <c r="M158" i="38"/>
  <c r="M151" i="38"/>
  <c r="M157" i="38"/>
  <c r="M162" i="38"/>
  <c r="M153" i="38"/>
  <c r="C182" i="38"/>
  <c r="C151" i="38"/>
  <c r="O183" i="38"/>
  <c r="O152" i="38"/>
  <c r="C14" i="49"/>
  <c r="O114" i="38"/>
  <c r="C18" i="49"/>
  <c r="B4" i="49"/>
  <c r="O10" i="38"/>
  <c r="C58" i="38"/>
  <c r="C157" i="38" s="1"/>
  <c r="P56" i="38"/>
  <c r="P75" i="38"/>
  <c r="O73" i="38" s="1"/>
  <c r="I2" i="38"/>
  <c r="I147" i="38"/>
  <c r="I78" i="38"/>
  <c r="I123" i="38"/>
  <c r="I44" i="38"/>
  <c r="I177" i="38"/>
  <c r="N165" i="38" l="1"/>
  <c r="J169" i="38"/>
  <c r="J170" i="38" s="1"/>
  <c r="O64" i="38"/>
  <c r="O72" i="38"/>
  <c r="O68" i="38"/>
  <c r="Q13" i="38"/>
  <c r="Q20" i="38"/>
  <c r="Q34" i="38"/>
  <c r="Q22" i="38"/>
  <c r="Q40" i="38"/>
  <c r="Q39" i="38"/>
  <c r="Q38" i="38"/>
  <c r="Q28" i="38"/>
  <c r="Q35" i="38"/>
  <c r="Q26" i="38"/>
  <c r="Q9" i="38"/>
  <c r="Q7" i="38"/>
  <c r="Q19" i="38"/>
  <c r="C161" i="38"/>
  <c r="C193" i="38"/>
  <c r="J168" i="38"/>
  <c r="J192" i="38"/>
  <c r="J193" i="38"/>
  <c r="I162" i="38"/>
  <c r="I168" i="38"/>
  <c r="K197" i="38"/>
  <c r="K199" i="38" s="1"/>
  <c r="I197" i="38"/>
  <c r="I199" i="38" s="1"/>
  <c r="K192" i="38"/>
  <c r="K193" i="38"/>
  <c r="F168" i="38"/>
  <c r="F192" i="38"/>
  <c r="F193" i="38"/>
  <c r="J197" i="38"/>
  <c r="J199" i="38" s="1"/>
  <c r="F197" i="38"/>
  <c r="F199" i="38" s="1"/>
  <c r="I166" i="38"/>
  <c r="I167" i="38" s="1"/>
  <c r="C166" i="38"/>
  <c r="D197" i="38"/>
  <c r="D200" i="38" s="1"/>
  <c r="D201" i="38" s="1"/>
  <c r="E169" i="38"/>
  <c r="E170" i="38" s="1"/>
  <c r="H197" i="38"/>
  <c r="H199" i="38" s="1"/>
  <c r="N166" i="38"/>
  <c r="N167" i="38" s="1"/>
  <c r="G192" i="38"/>
  <c r="G193" i="38"/>
  <c r="D161" i="38"/>
  <c r="N168" i="38"/>
  <c r="N192" i="38"/>
  <c r="N193" i="38"/>
  <c r="H193" i="38"/>
  <c r="H192" i="38"/>
  <c r="E161" i="38"/>
  <c r="E192" i="38"/>
  <c r="E193" i="38"/>
  <c r="G166" i="38"/>
  <c r="G167" i="38" s="1"/>
  <c r="L166" i="38"/>
  <c r="L167" i="38" s="1"/>
  <c r="L193" i="38"/>
  <c r="L192" i="38"/>
  <c r="G197" i="38"/>
  <c r="G199" i="38" s="1"/>
  <c r="N197" i="38"/>
  <c r="N199" i="38" s="1"/>
  <c r="O137" i="38"/>
  <c r="C168" i="38"/>
  <c r="C192" i="38"/>
  <c r="J161" i="38"/>
  <c r="J162" i="38"/>
  <c r="I161" i="38"/>
  <c r="I192" i="38"/>
  <c r="I193" i="38"/>
  <c r="K161" i="38"/>
  <c r="K162" i="38"/>
  <c r="K168" i="38"/>
  <c r="F161" i="38"/>
  <c r="F162" i="38"/>
  <c r="K166" i="38"/>
  <c r="K167" i="38" s="1"/>
  <c r="F166" i="38"/>
  <c r="F167" i="38" s="1"/>
  <c r="C169" i="38"/>
  <c r="C170" i="38" s="1"/>
  <c r="D162" i="38"/>
  <c r="G161" i="38"/>
  <c r="G162" i="38"/>
  <c r="G168" i="38"/>
  <c r="D168" i="38"/>
  <c r="D192" i="38"/>
  <c r="N161" i="38"/>
  <c r="N162" i="38"/>
  <c r="H161" i="38"/>
  <c r="H162" i="38"/>
  <c r="H168" i="38"/>
  <c r="E162" i="38"/>
  <c r="E168" i="38"/>
  <c r="L161" i="38"/>
  <c r="L162" i="38"/>
  <c r="L168" i="38"/>
  <c r="D166" i="38"/>
  <c r="D167" i="38" s="1"/>
  <c r="E166" i="38"/>
  <c r="E167" i="38" s="1"/>
  <c r="H166" i="38"/>
  <c r="H167" i="38" s="1"/>
  <c r="L169" i="38"/>
  <c r="L170" i="38" s="1"/>
  <c r="G195" i="38"/>
  <c r="I195" i="38"/>
  <c r="E195" i="38"/>
  <c r="O164" i="38"/>
  <c r="C32" i="49" s="1"/>
  <c r="C196" i="38"/>
  <c r="O133" i="38"/>
  <c r="O134" i="38" s="1"/>
  <c r="Q36" i="38"/>
  <c r="L195" i="38"/>
  <c r="F195" i="38"/>
  <c r="C199" i="38"/>
  <c r="M195" i="38"/>
  <c r="H195" i="38"/>
  <c r="O163" i="38"/>
  <c r="O165" i="38" s="1"/>
  <c r="N195" i="38"/>
  <c r="K195" i="38"/>
  <c r="J195" i="38"/>
  <c r="Q37" i="38"/>
  <c r="Q12" i="38"/>
  <c r="Q11" i="38"/>
  <c r="Q41" i="38"/>
  <c r="Q15" i="38"/>
  <c r="Q17" i="38"/>
  <c r="Q10" i="38"/>
  <c r="Q16" i="38"/>
  <c r="Q31" i="38"/>
  <c r="Q29" i="38"/>
  <c r="Q27" i="38"/>
  <c r="Q30" i="38"/>
  <c r="Q33" i="38"/>
  <c r="Q32" i="38"/>
  <c r="Q14" i="38"/>
  <c r="Q8" i="38"/>
  <c r="Q23" i="38"/>
  <c r="Q21" i="38"/>
  <c r="Q25" i="38"/>
  <c r="Q18" i="38"/>
  <c r="Q24" i="38"/>
  <c r="C188" i="38"/>
  <c r="C143" i="38"/>
  <c r="C159" i="38"/>
  <c r="C160" i="38" s="1"/>
  <c r="C131" i="38"/>
  <c r="C132" i="38" s="1"/>
  <c r="C190" i="38"/>
  <c r="C191" i="38" s="1"/>
  <c r="O42" i="38"/>
  <c r="O194" i="38"/>
  <c r="O196" i="38" s="1"/>
  <c r="D195" i="38"/>
  <c r="C24" i="49"/>
  <c r="Q6" i="38"/>
  <c r="O142" i="38"/>
  <c r="C26" i="49" s="1"/>
  <c r="Q42" i="38"/>
  <c r="D191" i="38"/>
  <c r="D132" i="38"/>
  <c r="D160" i="38"/>
  <c r="O205" i="38"/>
  <c r="O145" i="38"/>
  <c r="O140" i="38"/>
  <c r="O141" i="38"/>
  <c r="K200" i="38"/>
  <c r="K201" i="38" s="1"/>
  <c r="E200" i="38"/>
  <c r="E201" i="38" s="1"/>
  <c r="E198" i="38"/>
  <c r="M200" i="38"/>
  <c r="M201" i="38" s="1"/>
  <c r="M198" i="38"/>
  <c r="I200" i="38"/>
  <c r="I201" i="38" s="1"/>
  <c r="C167" i="38"/>
  <c r="L200" i="38"/>
  <c r="L201" i="38" s="1"/>
  <c r="L198" i="38"/>
  <c r="C200" i="38"/>
  <c r="C201" i="38" s="1"/>
  <c r="C198" i="38"/>
  <c r="C23" i="49"/>
  <c r="D153" i="38"/>
  <c r="D158" i="38"/>
  <c r="D184" i="38"/>
  <c r="D185" i="38"/>
  <c r="D154" i="38"/>
  <c r="D193" i="38"/>
  <c r="D189" i="38"/>
  <c r="O182" i="38"/>
  <c r="C29" i="49" s="1"/>
  <c r="C27" i="49"/>
  <c r="C185" i="38"/>
  <c r="C154" i="38"/>
  <c r="C158" i="38"/>
  <c r="C25" i="49"/>
  <c r="C153" i="38"/>
  <c r="C162" i="38"/>
  <c r="C189" i="38"/>
  <c r="C184" i="38"/>
  <c r="C19" i="49"/>
  <c r="C16" i="49"/>
  <c r="O144" i="38"/>
  <c r="C17" i="49"/>
  <c r="C15" i="49"/>
  <c r="O115" i="38"/>
  <c r="O67" i="38"/>
  <c r="O69" i="38"/>
  <c r="O63" i="38"/>
  <c r="O62" i="38"/>
  <c r="O74" i="38"/>
  <c r="O70" i="38"/>
  <c r="O71" i="38"/>
  <c r="O75" i="38"/>
  <c r="P58" i="38"/>
  <c r="O143" i="38" s="1"/>
  <c r="O65" i="38"/>
  <c r="O169" i="38" l="1"/>
  <c r="O171" i="38" s="1"/>
  <c r="O162" i="38"/>
  <c r="O161" i="38"/>
  <c r="F200" i="38"/>
  <c r="F201" i="38" s="1"/>
  <c r="J198" i="38"/>
  <c r="I198" i="38"/>
  <c r="F198" i="38"/>
  <c r="K198" i="38"/>
  <c r="G200" i="38"/>
  <c r="G201" i="38" s="1"/>
  <c r="O174" i="38"/>
  <c r="H198" i="38"/>
  <c r="J200" i="38"/>
  <c r="J201" i="38" s="1"/>
  <c r="N200" i="38"/>
  <c r="N201" i="38" s="1"/>
  <c r="D198" i="38"/>
  <c r="H200" i="38"/>
  <c r="H201" i="38" s="1"/>
  <c r="D199" i="38"/>
  <c r="O168" i="38"/>
  <c r="O192" i="38"/>
  <c r="G198" i="38"/>
  <c r="O173" i="38"/>
  <c r="O204" i="38"/>
  <c r="N198" i="38"/>
  <c r="O197" i="38"/>
  <c r="O200" i="38" s="1"/>
  <c r="O202" i="38" s="1"/>
  <c r="O166" i="38"/>
  <c r="O175" i="38" s="1"/>
  <c r="C38" i="49" s="1"/>
  <c r="O167" i="38"/>
  <c r="C31" i="49"/>
  <c r="O191" i="38"/>
  <c r="O195" i="38"/>
  <c r="C35" i="49" s="1"/>
  <c r="O132" i="38"/>
  <c r="O131" i="38"/>
  <c r="C37" i="49" s="1"/>
  <c r="O160" i="38"/>
  <c r="O190" i="38"/>
  <c r="O159" i="38"/>
  <c r="O158" i="38"/>
  <c r="O157" i="38"/>
  <c r="O188" i="38"/>
  <c r="O184" i="38"/>
  <c r="C30" i="49" s="1"/>
  <c r="O154" i="38"/>
  <c r="O185" i="38"/>
  <c r="O189" i="38"/>
  <c r="O193" i="38"/>
  <c r="O153" i="38"/>
  <c r="C28" i="49" s="1"/>
  <c r="C13" i="49"/>
  <c r="C36" i="49"/>
  <c r="C34" i="49"/>
  <c r="C20" i="49"/>
  <c r="C33" i="49"/>
  <c r="O170" i="38" l="1"/>
  <c r="O172" i="38" s="1"/>
  <c r="O198" i="38"/>
  <c r="O206" i="38"/>
  <c r="C39" i="49" s="1"/>
  <c r="O199" i="38"/>
  <c r="O201" i="38"/>
  <c r="O203"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author>
    <author>Alexandre</author>
    <author>artur</author>
  </authors>
  <commentList>
    <comment ref="A1" authorId="0" shapeId="0" xr:uid="{00000000-0006-0000-0000-000001000000}">
      <text>
        <r>
          <rPr>
            <b/>
            <sz val="8"/>
            <color indexed="81"/>
            <rFont val="Tahoma"/>
            <family val="2"/>
          </rPr>
          <t>Animais</t>
        </r>
        <r>
          <rPr>
            <sz val="8"/>
            <color indexed="81"/>
            <rFont val="Tahoma"/>
            <family val="2"/>
          </rPr>
          <t xml:space="preserve">
Estipular valor de mercado a todos os animais da propriedade, definindo a que categoria pertencem.
Animais adquiridos posteriormente passarão a compor o inventário, quando for feita a reavaliação anual do rebanho.</t>
        </r>
      </text>
    </comment>
    <comment ref="F1" authorId="1" shapeId="0" xr:uid="{00000000-0006-0000-0000-000002000000}">
      <text>
        <r>
          <rPr>
            <sz val="9"/>
            <color indexed="81"/>
            <rFont val="Tahoma"/>
            <family val="2"/>
          </rPr>
          <t>Ano Atual</t>
        </r>
      </text>
    </comment>
    <comment ref="B2" authorId="2" shapeId="0" xr:uid="{00000000-0006-0000-0000-000003000000}">
      <text>
        <r>
          <rPr>
            <sz val="8"/>
            <color indexed="81"/>
            <rFont val="Tahoma"/>
            <family val="2"/>
          </rPr>
          <t>Taxa básica definida como padrão em todas as propriedades do Projeto Balde Cheio.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author>
    <author>Alexandre</author>
    <author>artur</author>
  </authors>
  <commentList>
    <comment ref="A1" authorId="0" shapeId="0" xr:uid="{00000000-0006-0000-0100-000001000000}">
      <text>
        <r>
          <rPr>
            <b/>
            <sz val="8"/>
            <color indexed="81"/>
            <rFont val="Tahoma"/>
            <family val="2"/>
          </rPr>
          <t>Instalações</t>
        </r>
        <r>
          <rPr>
            <sz val="8"/>
            <color indexed="81"/>
            <rFont val="Tahoma"/>
            <family val="2"/>
          </rPr>
          <t xml:space="preserve">
Identificar, cadastrar, avaliar o estado de conservação e atribuir vida útil, além de valor atual e valor residual (final), a todas as instalações existentes na propriedade, inclusive cercas. Sugere-se que o </t>
        </r>
        <r>
          <rPr>
            <b/>
            <sz val="8"/>
            <color indexed="81"/>
            <rFont val="Tahoma"/>
            <family val="2"/>
          </rPr>
          <t>valor final seja igual a 20% do valor inicial</t>
        </r>
        <r>
          <rPr>
            <sz val="8"/>
            <color indexed="81"/>
            <rFont val="Tahoma"/>
            <family val="2"/>
          </rPr>
          <t xml:space="preserve"> das instalações existentes na propriedade, como forma de padronizar as comparações entre as planilhas das propriedades do Projeto Balde Cheio. Instalações construídas posteriormente passarão a compor o inventário, quando for feita a reavaliação anual do mesmo.
</t>
        </r>
      </text>
    </comment>
    <comment ref="G1" authorId="1" shapeId="0" xr:uid="{00000000-0006-0000-0100-000002000000}">
      <text>
        <r>
          <rPr>
            <sz val="9"/>
            <color indexed="81"/>
            <rFont val="Tahoma"/>
            <family val="2"/>
          </rPr>
          <t>Ano Atual</t>
        </r>
      </text>
    </comment>
    <comment ref="C3" authorId="2" shapeId="0" xr:uid="{00000000-0006-0000-0100-000003000000}">
      <text>
        <r>
          <rPr>
            <sz val="8"/>
            <color indexed="81"/>
            <rFont val="Arial"/>
            <family val="2"/>
          </rPr>
          <t>Taxa básica definida como padrão em todas as propriedades do Projeto Balde Cheio.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author>
    <author>Alexandre</author>
    <author>artur</author>
  </authors>
  <commentList>
    <comment ref="A1" authorId="0" shapeId="0" xr:uid="{00000000-0006-0000-0200-000001000000}">
      <text>
        <r>
          <rPr>
            <b/>
            <sz val="8"/>
            <color indexed="81"/>
            <rFont val="Arial"/>
            <family val="2"/>
          </rPr>
          <t>Máquinas, Equipamentos e Implementos Agrícolas</t>
        </r>
        <r>
          <rPr>
            <sz val="8"/>
            <color indexed="81"/>
            <rFont val="Arial"/>
            <family val="2"/>
          </rPr>
          <t xml:space="preserve">
Identificar, cadastrar, avaliar o estado de conservação, atribuir vida útil, além de valor atual e valor residual (final), a todas as máquinas, equipamentos e implementos agrícolas existentes na propriedade. Sugere-se que o </t>
        </r>
        <r>
          <rPr>
            <b/>
            <sz val="8"/>
            <color indexed="81"/>
            <rFont val="Arial"/>
            <family val="2"/>
          </rPr>
          <t>valor final seja igual a 10% do valor inicial</t>
        </r>
        <r>
          <rPr>
            <sz val="8"/>
            <color indexed="81"/>
            <rFont val="Arial"/>
            <family val="2"/>
          </rPr>
          <t xml:space="preserve"> das máquinas, equipamentos e implementos, como forma de padronizar as comparações entre as planilhas das propriedades do Projeto Balde Cheio. Máquinas, equipamentos ou implementos agrícolas adquiridos posteriormente passarão a compor o inventário, quando for feita a reavaliação anual do mesmo.</t>
        </r>
      </text>
    </comment>
    <comment ref="F1" authorId="1" shapeId="0" xr:uid="{00000000-0006-0000-0200-000002000000}">
      <text>
        <r>
          <rPr>
            <sz val="9"/>
            <color indexed="81"/>
            <rFont val="Tahoma"/>
            <family val="2"/>
          </rPr>
          <t>Ano Atual</t>
        </r>
      </text>
    </comment>
    <comment ref="B3" authorId="2" shapeId="0" xr:uid="{00000000-0006-0000-0200-000003000000}">
      <text>
        <r>
          <rPr>
            <sz val="8"/>
            <color indexed="81"/>
            <rFont val="Arial"/>
            <family val="2"/>
          </rPr>
          <t>Taxa básica definida como padrão em todas as propriedades do Projeto Balde Cheio.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author>
    <author>artur</author>
    <author>Alexandre</author>
  </authors>
  <commentList>
    <comment ref="A1" authorId="0" shapeId="0" xr:uid="{00000000-0006-0000-0300-000001000000}">
      <text>
        <r>
          <rPr>
            <b/>
            <sz val="8"/>
            <color indexed="81"/>
            <rFont val="Arial"/>
            <family val="2"/>
          </rPr>
          <t>Terra</t>
        </r>
        <r>
          <rPr>
            <sz val="8"/>
            <color indexed="81"/>
            <rFont val="Arial"/>
            <family val="2"/>
          </rPr>
          <t xml:space="preserve">
Para o cálculo da área utilizada (em hectares) pela atividade leiteira devem ser consideradas todas as glebas destinadas à produção de alimentos volumosos para todo o rebanho, ou seja, áreas com pastagens, cana-de-açúcar, culturas para ensilagem, campos para fenação, forrageiras de inverno e áreas ocupadas pelas benfeitorias, estradas e corredores internos.
Definida a área própria utilizada pela exploração leiteira , atribui-se o preço vigente da terra na região naquele momento.
Glebas de terra arrendadas de terceiros, para manutenção do rebanho, não devem fazer parte do inventário.
Áreas adquiridas posteriormente passarão a compor o inventário, quando for feita a reavaliação anual do mesmo.</t>
        </r>
      </text>
    </comment>
    <comment ref="B2" authorId="1" shapeId="0" xr:uid="{00000000-0006-0000-0300-000002000000}">
      <text>
        <r>
          <rPr>
            <sz val="8"/>
            <color indexed="81"/>
            <rFont val="Arial"/>
            <family val="2"/>
          </rPr>
          <t>Taxa básica definida como padrão em todas as propriedades do Projeto Balde Cheio.</t>
        </r>
      </text>
    </comment>
    <comment ref="A3" authorId="1" shapeId="0" xr:uid="{00000000-0006-0000-0300-000003000000}">
      <text>
        <r>
          <rPr>
            <b/>
            <sz val="8"/>
            <color indexed="81"/>
            <rFont val="Arial"/>
            <family val="2"/>
          </rPr>
          <t>Área da Atividade Leiteira:</t>
        </r>
        <r>
          <rPr>
            <sz val="8"/>
            <color indexed="81"/>
            <rFont val="Arial"/>
            <family val="2"/>
          </rPr>
          <t xml:space="preserve"> Refere-se à área (em hectares) pertencente ao proprietário que está disponível para a atividade leiteira, incluindo a gleba que está sendo intensificada e a área que ainda não está sendo trabalhada.</t>
        </r>
      </text>
    </comment>
    <comment ref="A4" authorId="2" shapeId="0" xr:uid="{00000000-0006-0000-0300-000004000000}">
      <text>
        <r>
          <rPr>
            <sz val="8"/>
            <color indexed="81"/>
            <rFont val="Arial"/>
            <family val="2"/>
          </rPr>
          <t>Ano atual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Windows</author>
  </authors>
  <commentList>
    <comment ref="A1" authorId="0" shapeId="0" xr:uid="{00000000-0006-0000-0400-000001000000}">
      <text>
        <r>
          <rPr>
            <b/>
            <sz val="8"/>
            <color indexed="81"/>
            <rFont val="Arial"/>
            <family val="2"/>
          </rPr>
          <t>Patrimônio</t>
        </r>
        <r>
          <rPr>
            <sz val="8"/>
            <color indexed="81"/>
            <rFont val="Arial"/>
            <family val="2"/>
          </rPr>
          <t xml:space="preserve">
A soma do capital investido em animais, instalações, máquinas equipamentos, implementos agrícolas e terra resultarão no patrimônio total do proprietário.
É preciso digitar a soma do patrimônio do 1º ano. A soma do ano atual e ano anterior contém fórmulas.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artur</author>
    <author>usuario</author>
    <author>Windows</author>
    <author>Artur</author>
  </authors>
  <commentList>
    <comment ref="I2" authorId="0" shapeId="0" xr:uid="{00000000-0006-0000-0500-000001000000}">
      <text>
        <r>
          <rPr>
            <sz val="8"/>
            <color indexed="81"/>
            <rFont val="Arial"/>
            <family val="2"/>
          </rPr>
          <t xml:space="preserve">Considere a área total utilizada pela atividade leiteira, em hectares (item </t>
        </r>
        <r>
          <rPr>
            <b/>
            <sz val="8"/>
            <color indexed="81"/>
            <rFont val="Arial"/>
            <family val="2"/>
          </rPr>
          <t>5.32</t>
        </r>
        <r>
          <rPr>
            <sz val="8"/>
            <color indexed="81"/>
            <rFont val="Arial"/>
            <family val="2"/>
          </rPr>
          <t xml:space="preserve">), computando todas as glebas próprias ou arrendadas destinadas à produção de alimentos volumosos para </t>
        </r>
        <r>
          <rPr>
            <b/>
            <sz val="8"/>
            <color indexed="81"/>
            <rFont val="Arial"/>
            <family val="2"/>
          </rPr>
          <t>TODO O REBANHO</t>
        </r>
        <r>
          <rPr>
            <sz val="8"/>
            <color indexed="81"/>
            <rFont val="Arial"/>
            <family val="2"/>
          </rPr>
          <t>, ou seja, áreas com pastagens, cana-de-açúcar, culturas para ensilagem, campos para fenação, forrageiras de inverno e áreas ocupadas pelas benfeitorias, estradas e corredores internos.</t>
        </r>
      </text>
    </comment>
    <comment ref="H3" authorId="1" shapeId="0" xr:uid="{00000000-0006-0000-0500-000002000000}">
      <text>
        <r>
          <rPr>
            <b/>
            <sz val="8"/>
            <color indexed="81"/>
            <rFont val="Arial"/>
            <family val="2"/>
          </rPr>
          <t>Mês:</t>
        </r>
        <r>
          <rPr>
            <sz val="8"/>
            <color indexed="81"/>
            <rFont val="Arial"/>
            <family val="2"/>
          </rPr>
          <t xml:space="preserve"> digitar o mês com 1 ou 2 algarismos, dependendo do mês.</t>
        </r>
      </text>
    </comment>
    <comment ref="I3" authorId="1" shapeId="0" xr:uid="{00000000-0006-0000-0500-000003000000}">
      <text>
        <r>
          <rPr>
            <b/>
            <sz val="8"/>
            <color indexed="81"/>
            <rFont val="Arial"/>
            <family val="2"/>
          </rPr>
          <t xml:space="preserve">Ano: </t>
        </r>
        <r>
          <rPr>
            <sz val="8"/>
            <color indexed="81"/>
            <rFont val="Arial"/>
            <family val="2"/>
          </rPr>
          <t>digitar o ano com 4 algarismos.</t>
        </r>
      </text>
    </comment>
    <comment ref="A4" authorId="0" shapeId="0" xr:uid="{00000000-0006-0000-0500-000004000000}">
      <text>
        <r>
          <rPr>
            <b/>
            <sz val="8"/>
            <color indexed="81"/>
            <rFont val="Arial"/>
            <family val="2"/>
          </rPr>
          <t>1. Despesas com Custeio (DC)</t>
        </r>
        <r>
          <rPr>
            <sz val="8"/>
            <color indexed="81"/>
            <rFont val="Arial"/>
            <family val="2"/>
          </rPr>
          <t xml:space="preserve">
Todos os valores definidos neste item referem-se à quantidade de dinheiro despendido (em R$) com custeio, também denominadas despesas operacionais. Nada neste item deve ser fruto de suposição, ou seja, as despesas aqui relacionadas ocorreram de fato.
</t>
        </r>
        <r>
          <rPr>
            <b/>
            <sz val="8"/>
            <color indexed="81"/>
            <rFont val="Arial"/>
            <family val="2"/>
          </rPr>
          <t xml:space="preserve">A descrição do que significa cada item foi feita no singular para facilitar o entendimento por parte dos usuários.
</t>
        </r>
        <r>
          <rPr>
            <sz val="8"/>
            <color indexed="81"/>
            <rFont val="Arial"/>
            <family val="2"/>
          </rPr>
          <t>Como exemplo, no item 1.1. relativo à mão-de-obra permanente, o valor pago mensalmente está se referindo ao somatório dos salários de todos os empregados envolvidos na atividade.
Compras efetuadas para um período superior a um mês, deverão ser lançadas no(s) mês(es) do(s) pagamento(s) da(s) mesma(s). Como exemplo, uma compra de adubo realizada em junho a ser paga em três parcelas deverá ser lançada nos meses de julho, agosto e setembro, apesar de sua utilização poder ocorrer apenas nos meses de outubro a março.</t>
        </r>
      </text>
    </comment>
    <comment ref="O4" authorId="1" shapeId="0" xr:uid="{00000000-0006-0000-0500-000005000000}">
      <text>
        <r>
          <rPr>
            <b/>
            <sz val="8"/>
            <color indexed="81"/>
            <rFont val="Arial"/>
            <family val="2"/>
          </rPr>
          <t xml:space="preserve">DIC/DTC (%): </t>
        </r>
        <r>
          <rPr>
            <sz val="8"/>
            <color indexed="81"/>
            <rFont val="Arial"/>
            <family val="2"/>
          </rPr>
          <t xml:space="preserve">relação entre a Despesa Individual de Custeio e a Despesa Total com o Custeio, em porcentagem. Na planilha, esta célula é ocupada por uma fórmula (itens de </t>
        </r>
        <r>
          <rPr>
            <b/>
            <sz val="8"/>
            <color indexed="81"/>
            <rFont val="Arial"/>
            <family val="2"/>
          </rPr>
          <t>1.1</t>
        </r>
        <r>
          <rPr>
            <sz val="8"/>
            <color indexed="81"/>
            <rFont val="Arial"/>
            <family val="2"/>
          </rPr>
          <t xml:space="preserve"> a </t>
        </r>
        <r>
          <rPr>
            <b/>
            <sz val="8"/>
            <color indexed="81"/>
            <rFont val="Arial"/>
            <family val="2"/>
          </rPr>
          <t>1.36</t>
        </r>
        <r>
          <rPr>
            <sz val="8"/>
            <color indexed="81"/>
            <rFont val="Arial"/>
            <family val="2"/>
          </rPr>
          <t xml:space="preserve">, divididos individualmente pelo item </t>
        </r>
        <r>
          <rPr>
            <b/>
            <sz val="8"/>
            <color indexed="81"/>
            <rFont val="Arial"/>
            <family val="2"/>
          </rPr>
          <t>1.37</t>
        </r>
        <r>
          <rPr>
            <sz val="8"/>
            <color indexed="81"/>
            <rFont val="Arial"/>
            <family val="2"/>
          </rPr>
          <t>, multiplicando o resultado por 100) não devendo ser preenchida.</t>
        </r>
      </text>
    </comment>
    <comment ref="P4" authorId="1" shapeId="0" xr:uid="{00000000-0006-0000-0500-000006000000}">
      <text>
        <r>
          <rPr>
            <b/>
            <sz val="8"/>
            <color indexed="81"/>
            <rFont val="Arial"/>
            <family val="2"/>
          </rPr>
          <t>DC (R$):</t>
        </r>
        <r>
          <rPr>
            <sz val="8"/>
            <color indexed="81"/>
            <rFont val="Arial"/>
            <family val="2"/>
          </rPr>
          <t xml:space="preserve"> soma das despesas com custeio de cada item efetuadas em 12 meses, em reais. Na planilha, esta célula é ocupada por uma fórmula (soma de cada um dos itens mês a mês) não devendo ser preenchida.</t>
        </r>
      </text>
    </comment>
    <comment ref="Q4" authorId="1" shapeId="0" xr:uid="{00000000-0006-0000-0500-000007000000}">
      <text>
        <r>
          <rPr>
            <b/>
            <sz val="8"/>
            <color indexed="81"/>
            <rFont val="Arial"/>
            <family val="2"/>
          </rPr>
          <t>DIC/RT (%)</t>
        </r>
        <r>
          <rPr>
            <sz val="8"/>
            <color indexed="81"/>
            <rFont val="Arial"/>
            <family val="2"/>
          </rPr>
          <t xml:space="preserve">: relação entre a Despesa Individual de Custeio e a Receita Total, em porcentagem. Na planilha, esta célula é ocupada por uma fórmula (itens de </t>
        </r>
        <r>
          <rPr>
            <b/>
            <sz val="8"/>
            <color indexed="81"/>
            <rFont val="Arial"/>
            <family val="2"/>
          </rPr>
          <t>1.1</t>
        </r>
        <r>
          <rPr>
            <sz val="8"/>
            <color indexed="81"/>
            <rFont val="Arial"/>
            <family val="2"/>
          </rPr>
          <t xml:space="preserve"> a </t>
        </r>
        <r>
          <rPr>
            <b/>
            <sz val="8"/>
            <color indexed="81"/>
            <rFont val="Arial"/>
            <family val="2"/>
          </rPr>
          <t>1.36</t>
        </r>
        <r>
          <rPr>
            <sz val="8"/>
            <color indexed="81"/>
            <rFont val="Arial"/>
            <family val="2"/>
          </rPr>
          <t xml:space="preserve">, divididos individualmente pelo item </t>
        </r>
        <r>
          <rPr>
            <b/>
            <sz val="8"/>
            <color indexed="81"/>
            <rFont val="Arial"/>
            <family val="2"/>
          </rPr>
          <t>4.9</t>
        </r>
        <r>
          <rPr>
            <sz val="8"/>
            <color indexed="81"/>
            <rFont val="Arial"/>
            <family val="2"/>
          </rPr>
          <t>, multiplicando o resultado por 100) não devendo ser preenchida.</t>
        </r>
      </text>
    </comment>
    <comment ref="A6" authorId="2" shapeId="0" xr:uid="{00000000-0006-0000-0500-000008000000}">
      <text>
        <r>
          <rPr>
            <b/>
            <sz val="8"/>
            <color indexed="81"/>
            <rFont val="Arial"/>
            <family val="2"/>
          </rPr>
          <t>1.1. Mão-de-obra</t>
        </r>
        <r>
          <rPr>
            <sz val="8"/>
            <color indexed="81"/>
            <rFont val="Arial"/>
            <family val="2"/>
          </rPr>
          <t xml:space="preserve"> </t>
        </r>
        <r>
          <rPr>
            <b/>
            <sz val="8"/>
            <color indexed="81"/>
            <rFont val="Arial"/>
            <family val="2"/>
          </rPr>
          <t>permanente:</t>
        </r>
        <r>
          <rPr>
            <sz val="8"/>
            <color indexed="81"/>
            <rFont val="Arial"/>
            <family val="2"/>
          </rPr>
          <t xml:space="preserve"> valor mensal referente ao pagamento de empregado registrado.</t>
        </r>
      </text>
    </comment>
    <comment ref="A7" authorId="2" shapeId="0" xr:uid="{00000000-0006-0000-0500-000009000000}">
      <text>
        <r>
          <rPr>
            <b/>
            <sz val="8"/>
            <color indexed="81"/>
            <rFont val="Arial"/>
            <family val="2"/>
          </rPr>
          <t>1.2. Encargos sociais:</t>
        </r>
        <r>
          <rPr>
            <sz val="8"/>
            <color indexed="81"/>
            <rFont val="Arial"/>
            <family val="2"/>
          </rPr>
          <t xml:space="preserve"> valor mensal referente ao pagamento de encargos sociais do empregado registrado, como INSS, PIS/PASEP, férias e FGTS, bem como acordos trabalhistas.</t>
        </r>
      </text>
    </comment>
    <comment ref="A8" authorId="2" shapeId="0" xr:uid="{00000000-0006-0000-0500-00000A000000}">
      <text>
        <r>
          <rPr>
            <b/>
            <sz val="8"/>
            <color indexed="81"/>
            <rFont val="Arial"/>
            <family val="2"/>
          </rPr>
          <t>1.3. Mão-de-obra temporária:</t>
        </r>
        <r>
          <rPr>
            <sz val="8"/>
            <color indexed="81"/>
            <rFont val="Arial"/>
            <family val="2"/>
          </rPr>
          <t xml:space="preserve"> valor mensal referente ao pagamento de serviço realizado por terceiro na propriedade (diarista ou empreiteiro).</t>
        </r>
      </text>
    </comment>
    <comment ref="A9" authorId="2" shapeId="0" xr:uid="{00000000-0006-0000-0500-00000B000000}">
      <text>
        <r>
          <rPr>
            <b/>
            <sz val="8"/>
            <color indexed="81"/>
            <rFont val="Arial"/>
            <family val="2"/>
          </rPr>
          <t>1.4. Mão-de-obra familiar:</t>
        </r>
        <r>
          <rPr>
            <sz val="8"/>
            <color indexed="81"/>
            <rFont val="Arial"/>
            <family val="2"/>
          </rPr>
          <t xml:space="preserve"> valor mensal referente ao pagamento efetivo de algum membro da família que trabalha na atividade leiteira (registrado ou não) e é remunerado em dinheiro por esse trabalho.</t>
        </r>
      </text>
    </comment>
    <comment ref="A10" authorId="2" shapeId="0" xr:uid="{00000000-0006-0000-0500-00000C000000}">
      <text>
        <r>
          <rPr>
            <b/>
            <sz val="8"/>
            <color indexed="81"/>
            <rFont val="Arial"/>
            <family val="2"/>
          </rPr>
          <t xml:space="preserve">1.5. Concentrados protêicos: </t>
        </r>
        <r>
          <rPr>
            <sz val="8"/>
            <color indexed="81"/>
            <rFont val="Arial"/>
            <family val="2"/>
          </rPr>
          <t>valor mensal referente à aquisição de alimentos concentrados protêicos como: farelo de soja, farelo de algodão, farelo de amendoim, caroço de algodão, resíduo protêico da refinação de milho, cevada dentre outros, incluindo o valor do frete até a propriedade.</t>
        </r>
      </text>
    </comment>
    <comment ref="A11" authorId="2" shapeId="0" xr:uid="{00000000-0006-0000-0500-00000D000000}">
      <text>
        <r>
          <rPr>
            <b/>
            <sz val="8"/>
            <color indexed="81"/>
            <rFont val="Arial"/>
            <family val="2"/>
          </rPr>
          <t>1.6. Concentrados energéticos:</t>
        </r>
        <r>
          <rPr>
            <sz val="8"/>
            <color indexed="81"/>
            <rFont val="Arial"/>
            <family val="2"/>
          </rPr>
          <t xml:space="preserve"> valor mensal referente à aquisição de alimentos concentrados energéticos como: milho (moído, fubá, em grão ou em espiga - rolão), sorgo, polpa cítrica peletizada (PCP), farelo de trigo, farelo de arroz, raspa de mandioca dentre outros, incluindo o valor do frete até a propriedade.</t>
        </r>
      </text>
    </comment>
    <comment ref="A12" authorId="2" shapeId="0" xr:uid="{00000000-0006-0000-0500-00000E000000}">
      <text>
        <r>
          <rPr>
            <b/>
            <sz val="8"/>
            <color indexed="81"/>
            <rFont val="Arial"/>
            <family val="2"/>
          </rPr>
          <t>1.7. Ração comercial:</t>
        </r>
        <r>
          <rPr>
            <sz val="8"/>
            <color indexed="81"/>
            <rFont val="Arial"/>
            <family val="2"/>
          </rPr>
          <t xml:space="preserve"> valor mensal referente à aquisição de qualquer tipo de ração comercial pronta, tanto para vacas em lactação, como para vacas secas, novilhas, bezerras, touros e animais de serviço, incluindo o valor do frete até a propriedade.</t>
        </r>
      </text>
    </comment>
    <comment ref="A13" authorId="2" shapeId="0" xr:uid="{00000000-0006-0000-0500-00000F000000}">
      <text>
        <r>
          <rPr>
            <b/>
            <sz val="8"/>
            <color indexed="81"/>
            <rFont val="Arial"/>
            <family val="2"/>
          </rPr>
          <t>1.8. Leite em pó:</t>
        </r>
        <r>
          <rPr>
            <sz val="8"/>
            <color indexed="81"/>
            <rFont val="Arial"/>
            <family val="2"/>
          </rPr>
          <t xml:space="preserve"> valor mensal referente à aquisição de leite em pó (sucedâneo) utilizado no aleitamento de bezerras, incluindo o valor do frete até a propriedade.</t>
        </r>
      </text>
    </comment>
    <comment ref="A14" authorId="2" shapeId="0" xr:uid="{00000000-0006-0000-0500-000010000000}">
      <text>
        <r>
          <rPr>
            <b/>
            <sz val="8"/>
            <color indexed="81"/>
            <rFont val="Arial"/>
            <family val="2"/>
          </rPr>
          <t>1.9. Sal mineral:</t>
        </r>
        <r>
          <rPr>
            <sz val="8"/>
            <color indexed="81"/>
            <rFont val="Arial"/>
            <family val="2"/>
          </rPr>
          <t xml:space="preserve"> valor mensal referente à aquisição de sal comum, fosfato bicálcico, bicarbonato de sódio, mistura de minerais, sal mineralizado ou sal proteinado, incluindo o valor do frete até a propriedade.</t>
        </r>
      </text>
    </comment>
    <comment ref="A15" authorId="2" shapeId="0" xr:uid="{00000000-0006-0000-0500-000011000000}">
      <text>
        <r>
          <rPr>
            <b/>
            <sz val="8"/>
            <color indexed="81"/>
            <rFont val="Arial"/>
            <family val="2"/>
          </rPr>
          <t>1.10. Calcário:</t>
        </r>
        <r>
          <rPr>
            <sz val="8"/>
            <color indexed="81"/>
            <rFont val="Arial"/>
            <family val="2"/>
          </rPr>
          <t xml:space="preserve"> valor mensal referente à aquisição de calcário calcítico, dolomítico e/ou magnesiano, a granel ou ensacado, incluindo o valor do frete até a propriedade.</t>
        </r>
      </text>
    </comment>
    <comment ref="A16" authorId="2" shapeId="0" xr:uid="{00000000-0006-0000-0500-000012000000}">
      <text>
        <r>
          <rPr>
            <b/>
            <sz val="8"/>
            <color indexed="81"/>
            <rFont val="Arial"/>
            <family val="2"/>
          </rPr>
          <t>1.11. Adubos orgânicos:</t>
        </r>
        <r>
          <rPr>
            <sz val="8"/>
            <color indexed="81"/>
            <rFont val="Arial"/>
            <family val="2"/>
          </rPr>
          <t xml:space="preserve"> valor mensal referente à aquisição de adubos orgânicos como: composto orgãnico de esterco de galinha poedeira, composto orgânico de cama de frango, esterco de bovinos, composto orgânico de esterco de suínos e todos os outros tipos de compostos orgânicos, incluindo o valor do frete até a propriedade.</t>
        </r>
      </text>
    </comment>
    <comment ref="A17" authorId="2" shapeId="0" xr:uid="{00000000-0006-0000-0500-000013000000}">
      <text>
        <r>
          <rPr>
            <b/>
            <sz val="8"/>
            <color indexed="81"/>
            <rFont val="Arial"/>
            <family val="2"/>
          </rPr>
          <t>1.12. Ureia:</t>
        </r>
        <r>
          <rPr>
            <sz val="8"/>
            <color indexed="81"/>
            <rFont val="Arial"/>
            <family val="2"/>
          </rPr>
          <t xml:space="preserve"> valor mensal referente à aquisição de ureia tanto para a adubação de pastagens e outras culturas forrageiras, como para uso na alimentação animal, incluindo o valor do frete até a propriedade.</t>
        </r>
      </text>
    </comment>
    <comment ref="A18" authorId="2" shapeId="0" xr:uid="{00000000-0006-0000-0500-000014000000}">
      <text>
        <r>
          <rPr>
            <b/>
            <sz val="8"/>
            <color indexed="81"/>
            <rFont val="Arial"/>
            <family val="2"/>
          </rPr>
          <t>1.13. Outros adubos:</t>
        </r>
        <r>
          <rPr>
            <sz val="8"/>
            <color indexed="81"/>
            <rFont val="Arial"/>
            <family val="2"/>
          </rPr>
          <t xml:space="preserve"> valor mensal referente à aquisição de fertilizantes formulados, superfosfato simples, superfosfato triplo, MAP, DAP, fosfatos de rocha, cloreto de potássio, sulfato de amônio, nitrato de amônio, micronutrientes, gesso e qualquer outro tipo de fertilizante químico, incluindo o valor do frete até a propriedade.</t>
        </r>
      </text>
    </comment>
    <comment ref="A19" authorId="2" shapeId="0" xr:uid="{00000000-0006-0000-0500-000015000000}">
      <text>
        <r>
          <rPr>
            <b/>
            <sz val="8"/>
            <color indexed="81"/>
            <rFont val="Arial"/>
            <family val="2"/>
          </rPr>
          <t xml:space="preserve">1.14. Defensivos: </t>
        </r>
        <r>
          <rPr>
            <sz val="8"/>
            <color indexed="81"/>
            <rFont val="Arial"/>
            <family val="2"/>
          </rPr>
          <t>valor mensal referente à aquisição de defensivos agrícolas como: produtos biológicos para a prevenção e combate às pragas das culturas forrageiras, inseticidas, fungicidas, formicidas, cupinicidas, mosquicidas e raticidas dentre outros, além dos herbicidas, incluindo o valor do frete até a propriedade.</t>
        </r>
      </text>
    </comment>
    <comment ref="A20" authorId="2" shapeId="0" xr:uid="{00000000-0006-0000-0500-000016000000}">
      <text>
        <r>
          <rPr>
            <b/>
            <sz val="8"/>
            <color indexed="81"/>
            <rFont val="Arial"/>
            <family val="2"/>
          </rPr>
          <t>1.15. Sementes e mudas:</t>
        </r>
        <r>
          <rPr>
            <sz val="8"/>
            <color indexed="81"/>
            <rFont val="Arial"/>
            <family val="2"/>
          </rPr>
          <t xml:space="preserve"> valor mensal referente à aquisição de sementes de milho, sorgo, girassol, leguminosas forrageiras (alfafa, leucena, estilosantes, amendoim forrageiro, etc.), gramíneas forrageiras (tanzânia, mombaça, braquiarão, setária, etc.) e adubos verdes (crotalária, mucuna-preta, lab-lab, etc.), mudas de cana-de-açúcar, gramíneas forrageiras (elefante, tifton, jiggs, etc.) e árvores para oferecimento de sombra aos animais ou recuperação de áreas de proteção permanente, incluindo o valor do frete até a propriedade.</t>
        </r>
      </text>
    </comment>
    <comment ref="A21" authorId="2" shapeId="0" xr:uid="{00000000-0006-0000-0500-000017000000}">
      <text>
        <r>
          <rPr>
            <b/>
            <sz val="8"/>
            <color indexed="81"/>
            <rFont val="Arial"/>
            <family val="2"/>
          </rPr>
          <t xml:space="preserve">1.16. Volumosos comprados: </t>
        </r>
        <r>
          <rPr>
            <sz val="8"/>
            <color indexed="81"/>
            <rFont val="Arial"/>
            <family val="2"/>
          </rPr>
          <t>valor mensal referente à aquisição de alimentos volumosos como fenos, silagens, cana-de-açúcar, palma forrageira e outros, incluindo o valor do frete até a propriedade.</t>
        </r>
      </text>
    </comment>
    <comment ref="A22" authorId="2" shapeId="0" xr:uid="{00000000-0006-0000-0500-000018000000}">
      <text>
        <r>
          <rPr>
            <b/>
            <sz val="8"/>
            <color indexed="81"/>
            <rFont val="Arial"/>
            <family val="2"/>
          </rPr>
          <t>1.17. Sêmen:</t>
        </r>
        <r>
          <rPr>
            <sz val="8"/>
            <color indexed="81"/>
            <rFont val="Arial"/>
            <family val="2"/>
          </rPr>
          <t xml:space="preserve"> valor mensal referente à aquisição de sêmen, incluindo o valor do frete até a propriedade.</t>
        </r>
      </text>
    </comment>
    <comment ref="A23" authorId="2" shapeId="0" xr:uid="{00000000-0006-0000-0500-000019000000}">
      <text>
        <r>
          <rPr>
            <b/>
            <sz val="8"/>
            <color indexed="81"/>
            <rFont val="Arial"/>
            <family val="2"/>
          </rPr>
          <t xml:space="preserve">1.18. Material para inseminação: </t>
        </r>
        <r>
          <rPr>
            <sz val="8"/>
            <color indexed="81"/>
            <rFont val="Arial"/>
            <family val="2"/>
          </rPr>
          <t>valor mensal referente à aquisição de luva, bainha, aplicador, termômetro, bastão e raspadinha para detecção de cio, além de todo tipo de material utilizado para a realização da inseminação artificial, bem como o reabastecimento do botijão de sêmen com nitrogênio líquido.</t>
        </r>
      </text>
    </comment>
    <comment ref="A24" authorId="2" shapeId="0" xr:uid="{00000000-0006-0000-0500-00001A000000}">
      <text>
        <r>
          <rPr>
            <b/>
            <sz val="8"/>
            <color indexed="81"/>
            <rFont val="Arial"/>
            <family val="2"/>
          </rPr>
          <t>1.19. Medicamentos preventivos:</t>
        </r>
        <r>
          <rPr>
            <sz val="8"/>
            <color indexed="81"/>
            <rFont val="Arial"/>
            <family val="2"/>
          </rPr>
          <t xml:space="preserve"> valor mensal referente à aquisição de medicamentos preventivos ou profiláticos, como vacinas (febre aftosa, carbúnculo sintomático, brucelose, pneumoenterite, IBR, BVD, leptospirose, etc.), vermífugos, antibióticos usados no momento da secagem das vacas, desinfetantes e instrumentos e materiais veterinários (seringas, gaze, aplicador de vermífugo, luvas, etc.), incluindo o valor do frete até a propriedade.</t>
        </r>
      </text>
    </comment>
    <comment ref="A25" authorId="2" shapeId="0" xr:uid="{00000000-0006-0000-0500-00001B000000}">
      <text>
        <r>
          <rPr>
            <b/>
            <sz val="8"/>
            <color indexed="81"/>
            <rFont val="Arial"/>
            <family val="2"/>
          </rPr>
          <t>1.20. Medicamentos curativos:</t>
        </r>
        <r>
          <rPr>
            <sz val="8"/>
            <color indexed="81"/>
            <rFont val="Arial"/>
            <family val="2"/>
          </rPr>
          <t xml:space="preserve"> valor mensal referente à aquisição de medicamentos utilizados na cura de enfermidades como: antibióticos, antiinflamatórios, antitérmicos, antihistamínicos, diuréticos, soros, complexos vitamínicos, “sprays” repelentes e curativos, bernicidas, carrapaticidas, hormônios (prostaglandina, estrogênio, GNRH), protocolos para IATF (inseminação artificial por tempo fixo), dentre outros, incluindo o valor do frete até a propriedade.</t>
        </r>
      </text>
    </comment>
    <comment ref="A26" authorId="2" shapeId="0" xr:uid="{00000000-0006-0000-0500-00001C000000}">
      <text>
        <r>
          <rPr>
            <b/>
            <sz val="8"/>
            <color indexed="81"/>
            <rFont val="Arial"/>
            <family val="2"/>
          </rPr>
          <t>1.21. Exames sanitários:</t>
        </r>
        <r>
          <rPr>
            <sz val="8"/>
            <color indexed="81"/>
            <rFont val="Arial"/>
            <family val="2"/>
          </rPr>
          <t xml:space="preserve"> valor mensal referente às despesas com exames sanitários no rebanho como antibiogramas, brucelose, leptospirose, tuberculose, IBR, BVD, dentre outros.</t>
        </r>
      </text>
    </comment>
    <comment ref="A27" authorId="2" shapeId="0" xr:uid="{00000000-0006-0000-0500-00001D000000}">
      <text>
        <r>
          <rPr>
            <b/>
            <sz val="8"/>
            <color indexed="81"/>
            <rFont val="Arial"/>
            <family val="2"/>
          </rPr>
          <t>1.22. Material de ordenha:</t>
        </r>
        <r>
          <rPr>
            <sz val="8"/>
            <color indexed="81"/>
            <rFont val="Arial"/>
            <family val="2"/>
          </rPr>
          <t xml:space="preserve"> valor mensal referente à aquisição de material utilizado para a manutenção do equipamento de ordenha (teteiras, mangueiras do leite, mangueiras de vácuo, coletores, medidores de vácuo, correias, óleos lubrificantes, etc.), na limpeza das instalações, dos equipamentos (detergentes alcalinos e ácidos, sanitizantes, escovas especiais) e no uso no momento da ordenha (desinfetantes pré e pós-“dipping”, caneca de fundo preto, papel toalha descartável), incluindo o valor do frete até a propriedade.</t>
        </r>
      </text>
    </comment>
    <comment ref="A28" authorId="2" shapeId="0" xr:uid="{00000000-0006-0000-0500-00001E000000}">
      <text>
        <r>
          <rPr>
            <b/>
            <sz val="8"/>
            <color indexed="81"/>
            <rFont val="Arial"/>
            <family val="2"/>
          </rPr>
          <t>1.23. Ferramentas e utensílios:</t>
        </r>
        <r>
          <rPr>
            <sz val="8"/>
            <color indexed="81"/>
            <rFont val="Arial"/>
            <family val="2"/>
          </rPr>
          <t xml:space="preserve"> valor mensal referente à aquisição de todos os tipos de ferramentas (pá, enxada, enxadão, foice, facão, rastelo, cavadeira, picareta, etc.) e de utensílios (vassoura, rodo, escovão, balde, pano, etc.).</t>
        </r>
      </text>
    </comment>
    <comment ref="A29" authorId="2" shapeId="0" xr:uid="{00000000-0006-0000-0500-000020000000}">
      <text>
        <r>
          <rPr>
            <b/>
            <sz val="8"/>
            <color indexed="81"/>
            <rFont val="Arial"/>
            <family val="2"/>
          </rPr>
          <t xml:space="preserve">1.24. Combustíveis: </t>
        </r>
        <r>
          <rPr>
            <sz val="8"/>
            <color indexed="81"/>
            <rFont val="Arial"/>
            <family val="2"/>
          </rPr>
          <t>valor mensal referente à aquisição de combustíveis (óleo diesel, gasolina e álcool), querosene, óleos lubrificantes, graxa e filtros, utilizados em tratores, veículos, máquinas e equipamentos da propriedade utilizados na atividade leiteira.</t>
        </r>
      </text>
    </comment>
    <comment ref="A30" authorId="2" shapeId="0" xr:uid="{00000000-0006-0000-0500-000021000000}">
      <text>
        <r>
          <rPr>
            <b/>
            <sz val="8"/>
            <color indexed="81"/>
            <rFont val="Arial"/>
            <family val="2"/>
          </rPr>
          <t xml:space="preserve">1.25. Mecanização terceirizada: </t>
        </r>
        <r>
          <rPr>
            <sz val="8"/>
            <color indexed="81"/>
            <rFont val="Arial"/>
            <family val="2"/>
          </rPr>
          <t>valor mensal referente ao pagamento de serviços contratados de mecanização (terceirização) para preparo do solo, plantio, aplicação de defensivos e colheita, entre outros, em atividades relacionadas à produção leiteira.</t>
        </r>
      </text>
    </comment>
    <comment ref="A31" authorId="2" shapeId="0" xr:uid="{00000000-0006-0000-0500-000022000000}">
      <text>
        <r>
          <rPr>
            <b/>
            <sz val="8"/>
            <color indexed="81"/>
            <rFont val="Arial"/>
            <family val="2"/>
          </rPr>
          <t>1.26. Manutenção de máquinas:</t>
        </r>
        <r>
          <rPr>
            <sz val="8"/>
            <color indexed="81"/>
            <rFont val="Arial"/>
            <family val="2"/>
          </rPr>
          <t xml:space="preserve"> valor mensal referente ao pagamento de consertos e/ou reformas de equipamentos, máquinas ou implementos agrícolas, utilizados na atividade leiteira.</t>
        </r>
      </text>
    </comment>
    <comment ref="A32" authorId="2" shapeId="0" xr:uid="{00000000-0006-0000-0500-000023000000}">
      <text>
        <r>
          <rPr>
            <b/>
            <sz val="8"/>
            <color indexed="81"/>
            <rFont val="Arial"/>
            <family val="2"/>
          </rPr>
          <t xml:space="preserve">1.27. Manutenção de instalações: </t>
        </r>
        <r>
          <rPr>
            <sz val="8"/>
            <color indexed="81"/>
            <rFont val="Arial"/>
            <family val="2"/>
          </rPr>
          <t>valor mensal referente ao pagamento de mão-de-obra (pedreiro, pintor, carpinteiro, encanador, eletricista, etc.) e compra de material de construção para manutenção ou pequenos reparos em instalações como sala de ordenha, estábulo, curral, galpões, cochos de alimentação, bebedouros, cercas, casas e outras edificações utilizadas na atividade leiteira.</t>
        </r>
      </text>
    </comment>
    <comment ref="A33" authorId="2" shapeId="0" xr:uid="{00000000-0006-0000-0500-000024000000}">
      <text>
        <r>
          <rPr>
            <b/>
            <sz val="8"/>
            <color indexed="81"/>
            <rFont val="Arial"/>
            <family val="2"/>
          </rPr>
          <t>1.28. Energia elétrica:</t>
        </r>
        <r>
          <rPr>
            <sz val="8"/>
            <color indexed="81"/>
            <rFont val="Arial"/>
            <family val="2"/>
          </rPr>
          <t xml:space="preserve"> valor mensal referente ao pagamento da conta de energia elétrica utilizada na atividade leiteira, inclusive a usada na casa dos empregados, que trabalham na atividade leiteira.</t>
        </r>
      </text>
    </comment>
    <comment ref="A34" authorId="2" shapeId="0" xr:uid="{00000000-0006-0000-0500-000025000000}">
      <text>
        <r>
          <rPr>
            <b/>
            <sz val="8"/>
            <color indexed="81"/>
            <rFont val="Arial"/>
            <family val="2"/>
          </rPr>
          <t>1.29. Telefone:</t>
        </r>
        <r>
          <rPr>
            <sz val="8"/>
            <color indexed="81"/>
            <rFont val="Arial"/>
            <family val="2"/>
          </rPr>
          <t xml:space="preserve"> valor mensal referente ao pagamento da conta telefônica. Havendo outra atividade agropecuária na propriedade, o valor deverá ser rateado proporcionalmente ao faturamento de cada uma delas.</t>
        </r>
      </text>
    </comment>
    <comment ref="A35" authorId="2" shapeId="0" xr:uid="{00000000-0006-0000-0500-000026000000}">
      <text>
        <r>
          <rPr>
            <b/>
            <sz val="8"/>
            <color indexed="81"/>
            <rFont val="Arial"/>
            <family val="2"/>
          </rPr>
          <t xml:space="preserve">1.30. Taxas e impostos: </t>
        </r>
        <r>
          <rPr>
            <sz val="8"/>
            <color indexed="81"/>
            <rFont val="Arial"/>
            <family val="2"/>
          </rPr>
          <t>valor mensal referente ao pagamento da contribuição sindical, ITR, INSS produtor rural (antigo FUNRURAL), cooperativas e associações, incluindo o serviço de registro genealógico, dentre outros.</t>
        </r>
      </text>
    </comment>
    <comment ref="A36" authorId="2" shapeId="0" xr:uid="{00000000-0006-0000-0500-000027000000}">
      <text>
        <r>
          <rPr>
            <b/>
            <sz val="8"/>
            <color indexed="81"/>
            <rFont val="Arial"/>
            <family val="2"/>
          </rPr>
          <t>1.31. Fretes do leite:</t>
        </r>
        <r>
          <rPr>
            <sz val="8"/>
            <color indexed="81"/>
            <rFont val="Arial"/>
            <family val="2"/>
          </rPr>
          <t xml:space="preserve"> valor mensal referente ao pagamento do frete de 1º e 2º percurso (se houver) do leite.</t>
        </r>
      </text>
    </comment>
    <comment ref="A37" authorId="2" shapeId="0" xr:uid="{00000000-0006-0000-0500-000028000000}">
      <text>
        <r>
          <rPr>
            <b/>
            <sz val="8"/>
            <color indexed="81"/>
            <rFont val="Arial"/>
            <family val="2"/>
          </rPr>
          <t>1.32. Assistência técnica:</t>
        </r>
        <r>
          <rPr>
            <sz val="8"/>
            <color indexed="81"/>
            <rFont val="Arial"/>
            <family val="2"/>
          </rPr>
          <t xml:space="preserve"> valor mensal referente ao pagamento de assistente técnico e/ou consultor (engenheiro agrônomo, médico veterinário, zootecnista, técnico agrícola, técnico em agropecuário, dentre outros) e serviços especializados como levantamento topográfico (GPS) e análises laboratoriais (solos e alimentos).</t>
        </r>
      </text>
    </comment>
    <comment ref="A38" authorId="2" shapeId="0" xr:uid="{00000000-0006-0000-0500-000029000000}">
      <text>
        <r>
          <rPr>
            <b/>
            <sz val="8"/>
            <color indexed="81"/>
            <rFont val="Arial"/>
            <family val="2"/>
          </rPr>
          <t>1.33. Escritório e contabilidade:</t>
        </r>
        <r>
          <rPr>
            <sz val="8"/>
            <color indexed="81"/>
            <rFont val="Arial"/>
            <family val="2"/>
          </rPr>
          <t xml:space="preserve"> valor mensal referente à aquisição de material de escritório e pagamento de escritório de contabilidade, cuja função é cuidar da organização dos documentos, emissão de guias para pagamento de impostos outros trâmites burocráticos relacionados a uma propriedade rural.</t>
        </r>
      </text>
    </comment>
    <comment ref="A39" authorId="2" shapeId="0" xr:uid="{00000000-0006-0000-0500-00002A000000}">
      <text>
        <r>
          <rPr>
            <b/>
            <sz val="8"/>
            <color indexed="81"/>
            <rFont val="Arial"/>
            <family val="2"/>
          </rPr>
          <t>1.34. Juros:</t>
        </r>
        <r>
          <rPr>
            <sz val="8"/>
            <color indexed="81"/>
            <rFont val="Arial"/>
            <family val="2"/>
          </rPr>
          <t xml:space="preserve"> valor mensal referente ao pagamento de juros de empréstimos contraídos para despesas com o custeio (operacional). Por exemplo: empréstimo de custeio para compra de fertilizantes no valor de R$ 10.000,00 e juros de 8,75% ao ano (R$ 875,00/ano), devendo ser lançado o valor mensal de R$ 72,92 (R$ 875,00/ano ÷ 12 meses).</t>
        </r>
      </text>
    </comment>
    <comment ref="A40" authorId="2" shapeId="0" xr:uid="{00000000-0006-0000-0500-00002B000000}">
      <text>
        <r>
          <rPr>
            <b/>
            <sz val="8"/>
            <color indexed="81"/>
            <rFont val="Arial"/>
            <family val="2"/>
          </rPr>
          <t xml:space="preserve">1.35. Arrendamentos: </t>
        </r>
        <r>
          <rPr>
            <sz val="8"/>
            <color indexed="81"/>
            <rFont val="Arial"/>
            <family val="2"/>
          </rPr>
          <t>valor mensal referente ao pagamento de arrendamento e/ou aluguel de pasto.</t>
        </r>
      </text>
    </comment>
    <comment ref="A41" authorId="2" shapeId="0" xr:uid="{00000000-0006-0000-0500-00002C000000}">
      <text>
        <r>
          <rPr>
            <b/>
            <sz val="8"/>
            <color indexed="81"/>
            <rFont val="Arial"/>
            <family val="2"/>
          </rPr>
          <t>1.36. Outros:</t>
        </r>
        <r>
          <rPr>
            <sz val="8"/>
            <color indexed="81"/>
            <rFont val="Arial"/>
            <family val="2"/>
          </rPr>
          <t xml:space="preserve"> valor mensal referente ao pagamento de conta de água, lavagem de veículos, fretes para transportes de materiais, de equipamentos, de implementos agrícolas e de animais, material para proteção da mão-de-obra (EPI - óculos, máscaras, roupas, botas de borracha, etc), promotores de lactação como a somatotropina, ionóforos e outras despesas não relacionadas nos itens anteriores.</t>
        </r>
      </text>
    </comment>
    <comment ref="A42" authorId="2" shapeId="0" xr:uid="{00000000-0006-0000-0500-00002D000000}">
      <text>
        <r>
          <rPr>
            <b/>
            <sz val="8"/>
            <color indexed="81"/>
            <rFont val="Arial"/>
            <family val="2"/>
          </rPr>
          <t xml:space="preserve">1.37. Total: </t>
        </r>
        <r>
          <rPr>
            <sz val="8"/>
            <color indexed="81"/>
            <rFont val="Arial"/>
            <family val="2"/>
          </rPr>
          <t xml:space="preserve">valor mensal referente aos pagamentos de todos os itens relacionados nas despesas efetuadas com o custeio da atividade leiteira. Na planilha, esta célula é ocupada por uma fórmula (soma dos itens de </t>
        </r>
        <r>
          <rPr>
            <b/>
            <sz val="8"/>
            <color indexed="81"/>
            <rFont val="Arial"/>
            <family val="2"/>
          </rPr>
          <t>1.1</t>
        </r>
        <r>
          <rPr>
            <sz val="8"/>
            <color indexed="81"/>
            <rFont val="Arial"/>
            <family val="2"/>
          </rPr>
          <t xml:space="preserve"> a </t>
        </r>
        <r>
          <rPr>
            <b/>
            <sz val="8"/>
            <color indexed="81"/>
            <rFont val="Arial"/>
            <family val="2"/>
          </rPr>
          <t>1.37</t>
        </r>
        <r>
          <rPr>
            <sz val="8"/>
            <color indexed="81"/>
            <rFont val="Arial"/>
            <family val="2"/>
          </rPr>
          <t>), não devendo ser preenchida.</t>
        </r>
      </text>
    </comment>
    <comment ref="A46" authorId="0" shapeId="0" xr:uid="{00000000-0006-0000-0500-00002E000000}">
      <text>
        <r>
          <rPr>
            <b/>
            <sz val="8"/>
            <color indexed="81"/>
            <rFont val="Arial"/>
            <family val="2"/>
          </rPr>
          <t>2. Despesas com Investimentos</t>
        </r>
        <r>
          <rPr>
            <sz val="8"/>
            <color indexed="81"/>
            <rFont val="Arial"/>
            <family val="2"/>
          </rPr>
          <t xml:space="preserve">
Todos os valores definidos neste item referem-se à quantidade de dinheiro despendido (em R$) com investimentos. Nada neste item deve ser fruto de suposição, ou seja, os investimentos aqui relacionados ocorreram de fato.</t>
        </r>
      </text>
    </comment>
    <comment ref="A52" authorId="3" shapeId="0" xr:uid="{00000000-0006-0000-0500-00002F000000}">
      <text>
        <r>
          <rPr>
            <b/>
            <sz val="8"/>
            <color indexed="81"/>
            <rFont val="Arial"/>
            <family val="2"/>
          </rPr>
          <t>2.1.4 Outros:</t>
        </r>
        <r>
          <rPr>
            <sz val="8"/>
            <color indexed="81"/>
            <rFont val="Arial"/>
            <family val="2"/>
          </rPr>
          <t xml:space="preserve"> valor mensal referente à aquisição de animais para reprodução (touros), detecção de cios (rufiões) ou tração (cavalos, burros, mulas, jumentos ou bois).</t>
        </r>
      </text>
    </comment>
    <comment ref="A53" authorId="3" shapeId="0" xr:uid="{00000000-0006-0000-0500-000030000000}">
      <text>
        <r>
          <rPr>
            <b/>
            <sz val="8"/>
            <color indexed="81"/>
            <rFont val="Arial"/>
            <family val="2"/>
          </rPr>
          <t>2.1.5 Total:</t>
        </r>
        <r>
          <rPr>
            <sz val="8"/>
            <color indexed="81"/>
            <rFont val="Arial"/>
            <family val="2"/>
          </rPr>
          <t xml:space="preserve"> valor mensal referente à aquisição de bezerras (</t>
        </r>
        <r>
          <rPr>
            <b/>
            <sz val="8"/>
            <color indexed="81"/>
            <rFont val="Arial"/>
            <family val="2"/>
          </rPr>
          <t>2.1.1</t>
        </r>
        <r>
          <rPr>
            <sz val="8"/>
            <color indexed="81"/>
            <rFont val="Arial"/>
            <family val="2"/>
          </rPr>
          <t>), novilhas (</t>
        </r>
        <r>
          <rPr>
            <b/>
            <sz val="8"/>
            <color indexed="81"/>
            <rFont val="Arial"/>
            <family val="2"/>
          </rPr>
          <t>2.1.2</t>
        </r>
        <r>
          <rPr>
            <sz val="8"/>
            <color indexed="81"/>
            <rFont val="Arial"/>
            <family val="2"/>
          </rPr>
          <t>), vacas (</t>
        </r>
        <r>
          <rPr>
            <b/>
            <sz val="8"/>
            <color indexed="81"/>
            <rFont val="Arial"/>
            <family val="2"/>
          </rPr>
          <t>2.1.3</t>
        </r>
        <r>
          <rPr>
            <sz val="8"/>
            <color indexed="81"/>
            <rFont val="Arial"/>
            <family val="2"/>
          </rPr>
          <t>) e outros animais (</t>
        </r>
        <r>
          <rPr>
            <b/>
            <sz val="8"/>
            <color indexed="81"/>
            <rFont val="Arial"/>
            <family val="2"/>
          </rPr>
          <t>2.1.4</t>
        </r>
        <r>
          <rPr>
            <sz val="8"/>
            <color indexed="81"/>
            <rFont val="Arial"/>
            <family val="2"/>
          </rPr>
          <t xml:space="preserve">). Na planilha, esta célula é ocupada por uma fórmula (soma dos itens </t>
        </r>
        <r>
          <rPr>
            <b/>
            <sz val="8"/>
            <color indexed="81"/>
            <rFont val="Arial"/>
            <family val="2"/>
          </rPr>
          <t>2.1.1, 2.1.2, 2.1.3</t>
        </r>
        <r>
          <rPr>
            <sz val="8"/>
            <color indexed="81"/>
            <rFont val="Arial"/>
            <family val="2"/>
          </rPr>
          <t xml:space="preserve"> e </t>
        </r>
        <r>
          <rPr>
            <b/>
            <sz val="8"/>
            <color indexed="81"/>
            <rFont val="Arial"/>
            <family val="2"/>
          </rPr>
          <t>2.1.4</t>
        </r>
        <r>
          <rPr>
            <sz val="8"/>
            <color indexed="81"/>
            <rFont val="Arial"/>
            <family val="2"/>
          </rPr>
          <t>) não devendo ser preenchida.</t>
        </r>
      </text>
    </comment>
    <comment ref="A54" authorId="2" shapeId="0" xr:uid="{00000000-0006-0000-0500-000031000000}">
      <text>
        <r>
          <rPr>
            <b/>
            <sz val="8"/>
            <color indexed="81"/>
            <rFont val="Arial"/>
            <family val="2"/>
          </rPr>
          <t>2.2. Instalações:</t>
        </r>
        <r>
          <rPr>
            <sz val="8"/>
            <color indexed="81"/>
            <rFont val="Arial"/>
            <family val="2"/>
          </rPr>
          <t xml:space="preserve"> valor mensal referente ao pagamento de material e mão-de-obra relativos à construção e/ou reformas estruturais de instalações como: sala de ordenha, sala do leite, curral, galpões de armazenamento, silos, escritório, casas, cercas dentre outras.</t>
        </r>
      </text>
    </comment>
    <comment ref="A55" authorId="2" shapeId="0" xr:uid="{00000000-0006-0000-0500-000032000000}">
      <text>
        <r>
          <rPr>
            <b/>
            <sz val="8"/>
            <color indexed="81"/>
            <rFont val="Arial"/>
            <family val="2"/>
          </rPr>
          <t xml:space="preserve">2.3. Máquinas e equipamentos: </t>
        </r>
        <r>
          <rPr>
            <sz val="8"/>
            <color indexed="81"/>
            <rFont val="Arial"/>
            <family val="2"/>
          </rPr>
          <t>valor mensal referente à aquisição de máquinas, equipamentos e implementos agrícolas como: ordenhadora mecânica, tanque de expansão, gerador de energia, aparelho para eletrificação de cerca, botijão de sêmen, equipamento de irrigação, trator, carroça, arado, grade, roçadora, plantadora, cultivador, pulverizador, picadora de forragem estacionária ou não, computador, programa de computador, dentre outros.</t>
        </r>
      </text>
    </comment>
    <comment ref="A56" authorId="2" shapeId="0" xr:uid="{00000000-0006-0000-0500-000034000000}">
      <text>
        <r>
          <rPr>
            <b/>
            <sz val="8"/>
            <color indexed="81"/>
            <rFont val="Arial"/>
            <family val="2"/>
          </rPr>
          <t>2.4. Total:</t>
        </r>
        <r>
          <rPr>
            <sz val="8"/>
            <color indexed="81"/>
            <rFont val="Arial"/>
            <family val="2"/>
          </rPr>
          <t xml:space="preserve"> valor mensal referente ao pagamento de todas os investimentos efetuados com a compra de animais, máquinas, equipamentos e a construção ou reformas estruturais de instalações. Na planilha esta célula é ocupada por uma fórmula (soma dos itens </t>
        </r>
        <r>
          <rPr>
            <b/>
            <sz val="8"/>
            <color indexed="81"/>
            <rFont val="Arial"/>
            <family val="2"/>
          </rPr>
          <t>2.1.5, 2.2</t>
        </r>
        <r>
          <rPr>
            <sz val="8"/>
            <color indexed="81"/>
            <rFont val="Arial"/>
            <family val="2"/>
          </rPr>
          <t xml:space="preserve"> e </t>
        </r>
        <r>
          <rPr>
            <b/>
            <sz val="8"/>
            <color indexed="81"/>
            <rFont val="Arial"/>
            <family val="2"/>
          </rPr>
          <t>2.3</t>
        </r>
        <r>
          <rPr>
            <sz val="8"/>
            <color indexed="81"/>
            <rFont val="Arial"/>
            <family val="2"/>
          </rPr>
          <t xml:space="preserve">), não devendo ser preenchida.
</t>
        </r>
        <r>
          <rPr>
            <b/>
            <sz val="8"/>
            <color indexed="81"/>
            <rFont val="Arial"/>
            <family val="2"/>
          </rPr>
          <t>OBS:</t>
        </r>
        <r>
          <rPr>
            <sz val="8"/>
            <color indexed="81"/>
            <rFont val="Arial"/>
            <family val="2"/>
          </rPr>
          <t xml:space="preserve"> As parcelas relativas aos financiamentos bancários deverão ser debitadas apenas nas datas efetivas do pagamento.</t>
        </r>
      </text>
    </comment>
    <comment ref="A58" authorId="2" shapeId="0" xr:uid="{00000000-0006-0000-0500-000035000000}">
      <text>
        <r>
          <rPr>
            <b/>
            <sz val="8"/>
            <color indexed="81"/>
            <rFont val="Arial"/>
            <family val="2"/>
          </rPr>
          <t>3. Despesas com o Sistema</t>
        </r>
        <r>
          <rPr>
            <sz val="8"/>
            <color indexed="81"/>
            <rFont val="Arial"/>
            <family val="2"/>
          </rPr>
          <t xml:space="preserve">
É a soma das despesas efetuadas com o Custeio (</t>
        </r>
        <r>
          <rPr>
            <b/>
            <sz val="8"/>
            <color indexed="81"/>
            <rFont val="Arial"/>
            <family val="2"/>
          </rPr>
          <t>item 1</t>
        </r>
        <r>
          <rPr>
            <sz val="8"/>
            <color indexed="81"/>
            <rFont val="Arial"/>
            <family val="2"/>
          </rPr>
          <t>) e com os Investimentos (</t>
        </r>
        <r>
          <rPr>
            <b/>
            <sz val="8"/>
            <color indexed="81"/>
            <rFont val="Arial"/>
            <family val="2"/>
          </rPr>
          <t>item 2</t>
        </r>
        <r>
          <rPr>
            <sz val="8"/>
            <color indexed="81"/>
            <rFont val="Arial"/>
            <family val="2"/>
          </rPr>
          <t xml:space="preserve">).
Esta célula é ocupada por uma fórmula (soma dos itens </t>
        </r>
        <r>
          <rPr>
            <b/>
            <sz val="8"/>
            <color indexed="81"/>
            <rFont val="Arial"/>
            <family val="2"/>
          </rPr>
          <t>1.37</t>
        </r>
        <r>
          <rPr>
            <sz val="8"/>
            <color indexed="81"/>
            <rFont val="Arial"/>
            <family val="2"/>
          </rPr>
          <t xml:space="preserve"> e </t>
        </r>
        <r>
          <rPr>
            <b/>
            <sz val="8"/>
            <color indexed="81"/>
            <rFont val="Arial"/>
            <family val="2"/>
          </rPr>
          <t>2.4</t>
        </r>
        <r>
          <rPr>
            <sz val="8"/>
            <color indexed="81"/>
            <rFont val="Arial"/>
            <family val="2"/>
          </rPr>
          <t>), não devendo ser preenchida.</t>
        </r>
      </text>
    </comment>
    <comment ref="A60" authorId="2" shapeId="0" xr:uid="{00000000-0006-0000-0500-000036000000}">
      <text>
        <r>
          <rPr>
            <b/>
            <sz val="8"/>
            <color indexed="81"/>
            <rFont val="Arial"/>
            <family val="2"/>
          </rPr>
          <t>4. Receitas</t>
        </r>
        <r>
          <rPr>
            <sz val="8"/>
            <color indexed="81"/>
            <rFont val="Arial"/>
            <family val="2"/>
          </rPr>
          <t xml:space="preserve">
Todos os valores definidos neste item referem-se à quantidade de dinheiro auferido (em R$) com a venda de algo que esteja relacionado à atividade leiteira. Nada neste item deve ser fruto de suposição, ou seja, as receitas aqui relacionadas ocorreram de fato. Os nomes da empresas compradoras de leite poderão ser escritos em substituição às denominações: empresa I, empresa II e empresa III.</t>
        </r>
      </text>
    </comment>
    <comment ref="A62" authorId="2" shapeId="0" xr:uid="{00000000-0006-0000-0500-000037000000}">
      <text>
        <r>
          <rPr>
            <b/>
            <sz val="8"/>
            <color indexed="81"/>
            <rFont val="Arial"/>
            <family val="2"/>
          </rPr>
          <t xml:space="preserve">4.1. Leite vendido - empresa I: </t>
        </r>
        <r>
          <rPr>
            <sz val="8"/>
            <color indexed="81"/>
            <rFont val="Arial"/>
            <family val="2"/>
          </rPr>
          <t>valor bruto mensal da produção total de leite vendido ao comprador principal.</t>
        </r>
      </text>
    </comment>
    <comment ref="A63" authorId="2" shapeId="0" xr:uid="{00000000-0006-0000-0500-000038000000}">
      <text>
        <r>
          <rPr>
            <b/>
            <sz val="8"/>
            <color indexed="81"/>
            <rFont val="Arial"/>
            <family val="2"/>
          </rPr>
          <t>4.2. Leite vendido - empresa II:</t>
        </r>
        <r>
          <rPr>
            <sz val="8"/>
            <color indexed="81"/>
            <rFont val="Arial"/>
            <family val="2"/>
          </rPr>
          <t xml:space="preserve"> valor bruto mensal da produção total de leite vendido a um segundo comprador.</t>
        </r>
      </text>
    </comment>
    <comment ref="A64" authorId="2" shapeId="0" xr:uid="{00000000-0006-0000-0500-000039000000}">
      <text>
        <r>
          <rPr>
            <b/>
            <sz val="8"/>
            <color indexed="81"/>
            <rFont val="Arial"/>
            <family val="2"/>
          </rPr>
          <t>4.3. Leite vendido - empresa III:</t>
        </r>
        <r>
          <rPr>
            <sz val="8"/>
            <color indexed="81"/>
            <rFont val="Arial"/>
            <family val="2"/>
          </rPr>
          <t xml:space="preserve"> valor bruto mensal da produção total de leite vendido a um terceiro comprador.</t>
        </r>
      </text>
    </comment>
    <comment ref="A65" authorId="2" shapeId="0" xr:uid="{00000000-0006-0000-0500-00003A000000}">
      <text>
        <r>
          <rPr>
            <b/>
            <sz val="8"/>
            <color indexed="81"/>
            <rFont val="Arial"/>
            <family val="2"/>
          </rPr>
          <t>4.4. Leite vendido - total:</t>
        </r>
        <r>
          <rPr>
            <sz val="8"/>
            <color indexed="81"/>
            <rFont val="Arial"/>
            <family val="2"/>
          </rPr>
          <t xml:space="preserve"> valor bruto mensal resultante do somatório da venda de leite para a empresa I, empresa II e empresa III. Esta célula é ocupada por uma fórmula (soma dos itens </t>
        </r>
        <r>
          <rPr>
            <b/>
            <sz val="8"/>
            <color indexed="81"/>
            <rFont val="Arial"/>
            <family val="2"/>
          </rPr>
          <t>4.1, 4.2</t>
        </r>
        <r>
          <rPr>
            <sz val="8"/>
            <color indexed="81"/>
            <rFont val="Arial"/>
            <family val="2"/>
          </rPr>
          <t xml:space="preserve"> e </t>
        </r>
        <r>
          <rPr>
            <b/>
            <sz val="8"/>
            <color indexed="81"/>
            <rFont val="Arial"/>
            <family val="2"/>
          </rPr>
          <t>4.3</t>
        </r>
        <r>
          <rPr>
            <sz val="8"/>
            <color indexed="81"/>
            <rFont val="Arial"/>
            <family val="2"/>
          </rPr>
          <t>), não devendo ser preenchida.</t>
        </r>
      </text>
    </comment>
    <comment ref="A66" authorId="2" shapeId="0" xr:uid="{00000000-0006-0000-0500-00003B000000}">
      <text>
        <r>
          <rPr>
            <b/>
            <sz val="8"/>
            <color indexed="81"/>
            <rFont val="Arial"/>
            <family val="2"/>
          </rPr>
          <t>4.5. Animais:</t>
        </r>
        <r>
          <rPr>
            <sz val="8"/>
            <color indexed="81"/>
            <rFont val="Arial"/>
            <family val="2"/>
          </rPr>
          <t xml:space="preserve"> valor mensal referente à venda de bezerras </t>
        </r>
        <r>
          <rPr>
            <b/>
            <sz val="8"/>
            <color indexed="81"/>
            <rFont val="Arial"/>
            <family val="2"/>
          </rPr>
          <t>(4.5.1)</t>
        </r>
        <r>
          <rPr>
            <sz val="8"/>
            <color indexed="81"/>
            <rFont val="Arial"/>
            <family val="2"/>
          </rPr>
          <t xml:space="preserve">, novilhas </t>
        </r>
        <r>
          <rPr>
            <b/>
            <sz val="8"/>
            <color indexed="81"/>
            <rFont val="Arial"/>
            <family val="2"/>
          </rPr>
          <t>(4.5.2)</t>
        </r>
        <r>
          <rPr>
            <sz val="8"/>
            <color indexed="81"/>
            <rFont val="Arial"/>
            <family val="2"/>
          </rPr>
          <t xml:space="preserve"> e vacas </t>
        </r>
        <r>
          <rPr>
            <b/>
            <sz val="8"/>
            <color indexed="81"/>
            <rFont val="Arial"/>
            <family val="2"/>
          </rPr>
          <t>(4.5.3)</t>
        </r>
        <r>
          <rPr>
            <sz val="8"/>
            <color indexed="81"/>
            <rFont val="Arial"/>
            <family val="2"/>
          </rPr>
          <t xml:space="preserve">, além de outros animais como bezerros, garrotes, touros e animais de serviço </t>
        </r>
        <r>
          <rPr>
            <b/>
            <sz val="8"/>
            <color indexed="81"/>
            <rFont val="Arial"/>
            <family val="2"/>
          </rPr>
          <t>(4.5.4)</t>
        </r>
        <r>
          <rPr>
            <sz val="8"/>
            <color indexed="81"/>
            <rFont val="Arial"/>
            <family val="2"/>
          </rPr>
          <t xml:space="preserve">. O montante referente à venda mensal de animais é mostrado no item </t>
        </r>
        <r>
          <rPr>
            <b/>
            <sz val="8"/>
            <color indexed="81"/>
            <rFont val="Arial"/>
            <family val="2"/>
          </rPr>
          <t>4.5.5</t>
        </r>
        <r>
          <rPr>
            <sz val="8"/>
            <color indexed="81"/>
            <rFont val="Arial"/>
            <family val="2"/>
          </rPr>
          <t xml:space="preserve">, sendo esta célula representada por uma fórmula (soma dos itens </t>
        </r>
        <r>
          <rPr>
            <b/>
            <sz val="8"/>
            <color indexed="81"/>
            <rFont val="Arial"/>
            <family val="2"/>
          </rPr>
          <t>4.5.1, 4.5.2, 4.5.3</t>
        </r>
        <r>
          <rPr>
            <sz val="8"/>
            <color indexed="81"/>
            <rFont val="Arial"/>
            <family val="2"/>
          </rPr>
          <t xml:space="preserve"> e </t>
        </r>
        <r>
          <rPr>
            <b/>
            <sz val="8"/>
            <color indexed="81"/>
            <rFont val="Arial"/>
            <family val="2"/>
          </rPr>
          <t>4.5.4</t>
        </r>
        <r>
          <rPr>
            <sz val="8"/>
            <color indexed="81"/>
            <rFont val="Arial"/>
            <family val="2"/>
          </rPr>
          <t>), não devendo ser preenchida.</t>
        </r>
      </text>
    </comment>
    <comment ref="A72" authorId="2" shapeId="0" xr:uid="{00000000-0006-0000-0500-00003C000000}">
      <text>
        <r>
          <rPr>
            <b/>
            <sz val="8"/>
            <color indexed="81"/>
            <rFont val="Arial"/>
            <family val="2"/>
          </rPr>
          <t>4.6. Máquinas e equipamentos:</t>
        </r>
        <r>
          <rPr>
            <sz val="8"/>
            <color indexed="81"/>
            <rFont val="Arial"/>
            <family val="2"/>
          </rPr>
          <t xml:space="preserve"> valor mensal referente à venda de máquinas ou equipamentos utilizados na atividade leiteira.</t>
        </r>
      </text>
    </comment>
    <comment ref="A73" authorId="2" shapeId="0" xr:uid="{00000000-0006-0000-0500-00003D000000}">
      <text>
        <r>
          <rPr>
            <b/>
            <sz val="8"/>
            <color indexed="81"/>
            <rFont val="Arial"/>
            <family val="2"/>
          </rPr>
          <t xml:space="preserve">4.7. Serviços para terceiros: </t>
        </r>
        <r>
          <rPr>
            <sz val="8"/>
            <color indexed="81"/>
            <rFont val="Arial"/>
            <family val="2"/>
          </rPr>
          <t>valor mensal referente ao recebimento de serviços prestados a terceiros como preparo do solo, plantio, aplicação de defensivo, colheita, ensilagem, roçada, capina, confecção de cerca dentre outros, desde que a máquina ou equipamento estejam parcial ou totalmente alocados na atividade leiteira.</t>
        </r>
      </text>
    </comment>
    <comment ref="A74" authorId="2" shapeId="0" xr:uid="{00000000-0006-0000-0500-00003E000000}">
      <text>
        <r>
          <rPr>
            <b/>
            <sz val="8"/>
            <color indexed="81"/>
            <rFont val="Arial"/>
            <family val="2"/>
          </rPr>
          <t>4.8. Outras receitas:</t>
        </r>
        <r>
          <rPr>
            <sz val="8"/>
            <color indexed="81"/>
            <rFont val="Arial"/>
            <family val="2"/>
          </rPr>
          <t xml:space="preserve"> valor mensal referente à venda de sucatas, sacarias, plásticos, madeiras, vidros, estercos, mudas de cana-de-açúcar, mudas de capim-elefante, mudas da grama-tifton, mudas da grama jiggs, mudas de árvores, sementes de forrageiras, bem como o aluguel de máquinas, equipamentos, implementos agrícolas e/ou instalações, desde que estejam alocados na atividade leiteira.</t>
        </r>
      </text>
    </comment>
    <comment ref="A75" authorId="2" shapeId="0" xr:uid="{00000000-0006-0000-0500-00003F000000}">
      <text>
        <r>
          <rPr>
            <b/>
            <sz val="8"/>
            <color indexed="81"/>
            <rFont val="Arial"/>
            <family val="2"/>
          </rPr>
          <t>4.9. Receita Total (RT):</t>
        </r>
        <r>
          <rPr>
            <sz val="8"/>
            <color indexed="81"/>
            <rFont val="Arial"/>
            <family val="2"/>
          </rPr>
          <t xml:space="preserve"> valor mensal referente à comercialização do leite somada com o valor da venda de animais, máquinas, equipamentos, serviços e outras receitas. Esta célula é ocupada por uma fórmula (soma dos itens </t>
        </r>
        <r>
          <rPr>
            <b/>
            <sz val="8"/>
            <color indexed="81"/>
            <rFont val="Arial"/>
            <family val="2"/>
          </rPr>
          <t>4.4, 4.5.5, 4.6, 4.7</t>
        </r>
        <r>
          <rPr>
            <sz val="8"/>
            <color indexed="81"/>
            <rFont val="Arial"/>
            <family val="2"/>
          </rPr>
          <t xml:space="preserve"> e </t>
        </r>
        <r>
          <rPr>
            <b/>
            <sz val="8"/>
            <color indexed="81"/>
            <rFont val="Arial"/>
            <family val="2"/>
          </rPr>
          <t>4.8</t>
        </r>
        <r>
          <rPr>
            <sz val="8"/>
            <color indexed="81"/>
            <rFont val="Arial"/>
            <family val="2"/>
          </rPr>
          <t>), não devendo ser preenchida.</t>
        </r>
      </text>
    </comment>
    <comment ref="A76" authorId="0" shapeId="0" xr:uid="{00000000-0006-0000-0500-000040000000}">
      <text>
        <r>
          <rPr>
            <b/>
            <sz val="8"/>
            <color indexed="81"/>
            <rFont val="Arial"/>
            <family val="2"/>
          </rPr>
          <t>4.10. Outras atividades agropecuárias:</t>
        </r>
        <r>
          <rPr>
            <sz val="8"/>
            <color indexed="81"/>
            <rFont val="Arial"/>
            <family val="2"/>
          </rPr>
          <t xml:space="preserve"> soma das receitas advindas de todas as outras atividades agropecuárias, caso hajam, e que compõe a renda total da propriedade.</t>
        </r>
      </text>
    </comment>
    <comment ref="A80" authorId="2" shapeId="0" xr:uid="{00000000-0006-0000-0500-000041000000}">
      <text>
        <r>
          <rPr>
            <b/>
            <sz val="8"/>
            <color indexed="81"/>
            <rFont val="Arial"/>
            <family val="2"/>
          </rPr>
          <t>5. Resultados Zootécnicos</t>
        </r>
        <r>
          <rPr>
            <sz val="8"/>
            <color indexed="81"/>
            <rFont val="Arial"/>
            <family val="2"/>
          </rPr>
          <t xml:space="preserve">
Todos os valores definidos neste item referem-se a números obtidos, não havendo suposições. As exceções ficam por conta dos sub-itens</t>
        </r>
        <r>
          <rPr>
            <b/>
            <sz val="8"/>
            <color indexed="81"/>
            <rFont val="Arial"/>
            <family val="2"/>
          </rPr>
          <t xml:space="preserve"> 5.6</t>
        </r>
        <r>
          <rPr>
            <sz val="8"/>
            <color indexed="81"/>
            <rFont val="Arial"/>
            <family val="2"/>
          </rPr>
          <t xml:space="preserve"> e </t>
        </r>
        <r>
          <rPr>
            <b/>
            <sz val="8"/>
            <color indexed="81"/>
            <rFont val="Arial"/>
            <family val="2"/>
          </rPr>
          <t>5.7</t>
        </r>
        <r>
          <rPr>
            <sz val="8"/>
            <color indexed="81"/>
            <rFont val="Arial"/>
            <family val="2"/>
          </rPr>
          <t>. Os nomes da empresas compradoras de leite poderão ser escritos em substituição às denominações empresa I, empresa II e empresa III.</t>
        </r>
      </text>
    </comment>
    <comment ref="A82" authorId="2" shapeId="0" xr:uid="{00000000-0006-0000-0500-000042000000}">
      <text>
        <r>
          <rPr>
            <b/>
            <sz val="8"/>
            <color indexed="81"/>
            <rFont val="Arial"/>
            <family val="2"/>
          </rPr>
          <t>5.1. Leite vendido - empresa I (litros):</t>
        </r>
        <r>
          <rPr>
            <sz val="8"/>
            <color indexed="81"/>
            <rFont val="Arial"/>
            <family val="2"/>
          </rPr>
          <t xml:space="preserve"> volume de leite vendido mensalmente para a empresa I.</t>
        </r>
      </text>
    </comment>
    <comment ref="A83" authorId="2" shapeId="0" xr:uid="{00000000-0006-0000-0500-000043000000}">
      <text>
        <r>
          <rPr>
            <b/>
            <sz val="8"/>
            <color indexed="81"/>
            <rFont val="Arial"/>
            <family val="2"/>
          </rPr>
          <t>5.2. Leite vendido - empresa II (litros):</t>
        </r>
        <r>
          <rPr>
            <sz val="8"/>
            <color indexed="81"/>
            <rFont val="Arial"/>
            <family val="2"/>
          </rPr>
          <t xml:space="preserve"> volume de leite vendido mensalmente para a empresa II.</t>
        </r>
      </text>
    </comment>
    <comment ref="A84" authorId="2" shapeId="0" xr:uid="{00000000-0006-0000-0500-000044000000}">
      <text>
        <r>
          <rPr>
            <b/>
            <sz val="8"/>
            <color indexed="81"/>
            <rFont val="Arial"/>
            <family val="2"/>
          </rPr>
          <t>5.3. Leite vendido - empresa III (litros):</t>
        </r>
        <r>
          <rPr>
            <sz val="8"/>
            <color indexed="81"/>
            <rFont val="Arial"/>
            <family val="2"/>
          </rPr>
          <t xml:space="preserve"> volume de leite vendido mensalmente para a empresa III.</t>
        </r>
      </text>
    </comment>
    <comment ref="A85" authorId="2" shapeId="0" xr:uid="{00000000-0006-0000-0500-000045000000}">
      <text>
        <r>
          <rPr>
            <b/>
            <sz val="8"/>
            <color indexed="81"/>
            <rFont val="Arial"/>
            <family val="2"/>
          </rPr>
          <t xml:space="preserve">5.4. Leite vendido - total (litros): </t>
        </r>
        <r>
          <rPr>
            <sz val="8"/>
            <color indexed="81"/>
            <rFont val="Arial"/>
            <family val="2"/>
          </rPr>
          <t xml:space="preserve">quantidade mensal de leite vendido, resultante do somatório do volume de leite vendido para a empresa I, para a empresa II e para a empresa III. Esta célula é ocupada por uma fórmula (soma dos itens </t>
        </r>
        <r>
          <rPr>
            <b/>
            <sz val="8"/>
            <color indexed="81"/>
            <rFont val="Arial"/>
            <family val="2"/>
          </rPr>
          <t>5.1, 5.2</t>
        </r>
        <r>
          <rPr>
            <sz val="8"/>
            <color indexed="81"/>
            <rFont val="Arial"/>
            <family val="2"/>
          </rPr>
          <t xml:space="preserve"> e </t>
        </r>
        <r>
          <rPr>
            <b/>
            <sz val="8"/>
            <color indexed="81"/>
            <rFont val="Arial"/>
            <family val="2"/>
          </rPr>
          <t>5.3</t>
        </r>
        <r>
          <rPr>
            <sz val="8"/>
            <color indexed="81"/>
            <rFont val="Arial"/>
            <family val="2"/>
          </rPr>
          <t>), não devendo ser preenchida.</t>
        </r>
      </text>
    </comment>
    <comment ref="A86" authorId="0" shapeId="0" xr:uid="{00000000-0006-0000-0500-000046000000}">
      <text>
        <r>
          <rPr>
            <b/>
            <sz val="8"/>
            <color indexed="81"/>
            <rFont val="Arial"/>
            <family val="2"/>
          </rPr>
          <t>5.5. Leite vendido - média diária (litros):</t>
        </r>
        <r>
          <rPr>
            <sz val="8"/>
            <color indexed="81"/>
            <rFont val="Arial"/>
            <family val="2"/>
          </rPr>
          <t xml:space="preserve"> volume mensal de leite vendido dividido pelo número de dias do mês . Esta célula é ocupada por uma fórmula (divisão do item </t>
        </r>
        <r>
          <rPr>
            <b/>
            <sz val="8"/>
            <color indexed="81"/>
            <rFont val="Arial"/>
            <family val="2"/>
          </rPr>
          <t>5.4</t>
        </r>
        <r>
          <rPr>
            <sz val="8"/>
            <color indexed="81"/>
            <rFont val="Arial"/>
            <family val="2"/>
          </rPr>
          <t xml:space="preserve"> pelo respectivo número de dias do mês), não devendo ser preenchida.</t>
        </r>
      </text>
    </comment>
    <comment ref="A87" authorId="2" shapeId="0" xr:uid="{00000000-0006-0000-0500-000047000000}">
      <text>
        <r>
          <rPr>
            <b/>
            <sz val="8"/>
            <color indexed="81"/>
            <rFont val="Arial"/>
            <family val="2"/>
          </rPr>
          <t>5.6. Leite consumo interno (litros):</t>
        </r>
        <r>
          <rPr>
            <sz val="8"/>
            <color indexed="81"/>
            <rFont val="Arial"/>
            <family val="2"/>
          </rPr>
          <t xml:space="preserve"> volume mensal real ou estimado de leite destinado ao consumo humano como leite fluido (in natura) e/ou derivados.</t>
        </r>
      </text>
    </comment>
    <comment ref="A88" authorId="2" shapeId="0" xr:uid="{00000000-0006-0000-0500-000048000000}">
      <text>
        <r>
          <rPr>
            <b/>
            <sz val="8"/>
            <color indexed="81"/>
            <rFont val="Arial"/>
            <family val="2"/>
          </rPr>
          <t>5.7. Leite consumo bezerros (litros):</t>
        </r>
        <r>
          <rPr>
            <sz val="8"/>
            <color indexed="81"/>
            <rFont val="Arial"/>
            <family val="2"/>
          </rPr>
          <t xml:space="preserve"> volume mensal de leite destinado à alimentação de bezerra(o). Caso o aleitamento da(o) bezerra(o) seja feito diretamente na vaca, a quantidade consumida pela cria não deverá ser estimada.</t>
        </r>
      </text>
    </comment>
    <comment ref="A89" authorId="2" shapeId="0" xr:uid="{00000000-0006-0000-0500-000049000000}">
      <text>
        <r>
          <rPr>
            <b/>
            <sz val="8"/>
            <color indexed="81"/>
            <rFont val="Arial"/>
            <family val="2"/>
          </rPr>
          <t xml:space="preserve">5.8. Leite produzido (litros): </t>
        </r>
        <r>
          <rPr>
            <sz val="8"/>
            <color indexed="81"/>
            <rFont val="Arial"/>
            <family val="2"/>
          </rPr>
          <t xml:space="preserve">quantidade mensal de leite vendido somado ao leite consumido internamente pelas pessoas na propriedade e pelas(os) bezerras(os). Na planilha esta célula é ocupada por uma fórmula (soma dos itens </t>
        </r>
        <r>
          <rPr>
            <b/>
            <sz val="8"/>
            <color indexed="81"/>
            <rFont val="Arial"/>
            <family val="2"/>
          </rPr>
          <t>5.4, 5.6</t>
        </r>
        <r>
          <rPr>
            <sz val="8"/>
            <color indexed="81"/>
            <rFont val="Arial"/>
            <family val="2"/>
          </rPr>
          <t xml:space="preserve"> e </t>
        </r>
        <r>
          <rPr>
            <b/>
            <sz val="8"/>
            <color indexed="81"/>
            <rFont val="Arial"/>
            <family val="2"/>
          </rPr>
          <t>5.7</t>
        </r>
        <r>
          <rPr>
            <sz val="8"/>
            <color indexed="81"/>
            <rFont val="Arial"/>
            <family val="2"/>
          </rPr>
          <t>), não devendo ser preenchida.</t>
        </r>
      </text>
    </comment>
    <comment ref="A90" authorId="2" shapeId="0" xr:uid="{00000000-0006-0000-0500-00004A000000}">
      <text>
        <r>
          <rPr>
            <b/>
            <sz val="8"/>
            <color indexed="81"/>
            <rFont val="Arial"/>
            <family val="2"/>
          </rPr>
          <t>5.9. Produção diária (litros):</t>
        </r>
        <r>
          <rPr>
            <sz val="8"/>
            <color indexed="81"/>
            <rFont val="Arial"/>
            <family val="2"/>
          </rPr>
          <t xml:space="preserve"> quantidade mensal de leite produzido dividida pelo número de dias do mês. Na planilha esta célula é ocupada por uma fórmula (item </t>
        </r>
        <r>
          <rPr>
            <b/>
            <sz val="8"/>
            <color indexed="81"/>
            <rFont val="Arial"/>
            <family val="2"/>
          </rPr>
          <t>5.8</t>
        </r>
        <r>
          <rPr>
            <sz val="8"/>
            <color indexed="81"/>
            <rFont val="Arial"/>
            <family val="2"/>
          </rPr>
          <t xml:space="preserve"> dividido pelo respectivo número de dias do mês), não devendo ser preenchida.</t>
        </r>
      </text>
    </comment>
    <comment ref="A91" authorId="1" shapeId="0" xr:uid="{00000000-0006-0000-0500-00004B000000}">
      <text>
        <r>
          <rPr>
            <b/>
            <sz val="8"/>
            <color indexed="81"/>
            <rFont val="Arial"/>
            <family val="2"/>
          </rPr>
          <t>5.10. Relação Leite vendido/Leite produzido (%):</t>
        </r>
        <r>
          <rPr>
            <sz val="8"/>
            <color indexed="81"/>
            <rFont val="Arial"/>
            <family val="2"/>
          </rPr>
          <t xml:space="preserve"> quantidade mensal de leite vendido em relação ao leite produzido. Na planilha esta célula é ocupada por uma fórmula (item </t>
        </r>
        <r>
          <rPr>
            <b/>
            <sz val="8"/>
            <color indexed="81"/>
            <rFont val="Arial"/>
            <family val="2"/>
          </rPr>
          <t>5.4</t>
        </r>
        <r>
          <rPr>
            <sz val="8"/>
            <color indexed="81"/>
            <rFont val="Arial"/>
            <family val="2"/>
          </rPr>
          <t xml:space="preserve"> dividido pelo item </t>
        </r>
        <r>
          <rPr>
            <b/>
            <sz val="8"/>
            <color indexed="81"/>
            <rFont val="Arial"/>
            <family val="2"/>
          </rPr>
          <t>5.8</t>
        </r>
        <r>
          <rPr>
            <sz val="8"/>
            <color indexed="81"/>
            <rFont val="Arial"/>
            <family val="2"/>
          </rPr>
          <t>, multiplicando o resultado por 100), não devendo ser preenchida.</t>
        </r>
      </text>
    </comment>
    <comment ref="A92" authorId="2" shapeId="0" xr:uid="{00000000-0006-0000-0500-00004C000000}">
      <text>
        <r>
          <rPr>
            <b/>
            <sz val="8"/>
            <color indexed="81"/>
            <rFont val="Arial"/>
            <family val="2"/>
          </rPr>
          <t xml:space="preserve">5.11. Vacas em lactação (nº): </t>
        </r>
        <r>
          <rPr>
            <sz val="8"/>
            <color indexed="81"/>
            <rFont val="Arial"/>
            <family val="2"/>
          </rPr>
          <t>quantidade de vacas em lactação, obtida por ocasião do controle leiteiro. Se for realizado mais de um controle leiteiro no mesmo mês, deverá ser tirada a média da quantidade de vacas em lactação.</t>
        </r>
      </text>
    </comment>
    <comment ref="A93" authorId="2" shapeId="0" xr:uid="{00000000-0006-0000-0500-00004D000000}">
      <text>
        <r>
          <rPr>
            <b/>
            <sz val="8"/>
            <color indexed="81"/>
            <rFont val="Arial"/>
            <family val="2"/>
          </rPr>
          <t>5.12. Vacas secas (nº):</t>
        </r>
        <r>
          <rPr>
            <sz val="8"/>
            <color indexed="81"/>
            <rFont val="Arial"/>
            <family val="2"/>
          </rPr>
          <t xml:space="preserve"> quantidade de vacas secas (que não estão em produção), obtida por ocasião do controle leiteiro. Se for realizado mais de um controle leiteiro no mesmo mês, deverá ser tirada a média da quantidade de vacas secas.</t>
        </r>
      </text>
    </comment>
    <comment ref="A94" authorId="2" shapeId="0" xr:uid="{00000000-0006-0000-0500-00004E000000}">
      <text>
        <r>
          <rPr>
            <b/>
            <sz val="8"/>
            <color indexed="81"/>
            <rFont val="Arial"/>
            <family val="2"/>
          </rPr>
          <t>5.13. Vacas em lactação (%):</t>
        </r>
        <r>
          <rPr>
            <sz val="8"/>
            <color indexed="81"/>
            <rFont val="Arial"/>
            <family val="2"/>
          </rPr>
          <t xml:space="preserve"> média mensal em porcentagem, da quantidade de vacas em lactação em relação ao total de vacas no rebanho. Na planilha esta célula é ocupada por uma fórmula (item </t>
        </r>
        <r>
          <rPr>
            <b/>
            <sz val="8"/>
            <color indexed="81"/>
            <rFont val="Arial"/>
            <family val="2"/>
          </rPr>
          <t>5.11</t>
        </r>
        <r>
          <rPr>
            <sz val="8"/>
            <color indexed="81"/>
            <rFont val="Arial"/>
            <family val="2"/>
          </rPr>
          <t xml:space="preserve"> dividido pela soma dos itens </t>
        </r>
        <r>
          <rPr>
            <b/>
            <sz val="8"/>
            <color indexed="81"/>
            <rFont val="Arial"/>
            <family val="2"/>
          </rPr>
          <t>5.11</t>
        </r>
        <r>
          <rPr>
            <sz val="8"/>
            <color indexed="81"/>
            <rFont val="Arial"/>
            <family val="2"/>
          </rPr>
          <t xml:space="preserve"> e </t>
        </r>
        <r>
          <rPr>
            <b/>
            <sz val="8"/>
            <color indexed="81"/>
            <rFont val="Arial"/>
            <family val="2"/>
          </rPr>
          <t>5.12</t>
        </r>
        <r>
          <rPr>
            <sz val="8"/>
            <color indexed="81"/>
            <rFont val="Arial"/>
            <family val="2"/>
          </rPr>
          <t xml:space="preserve">, multiplicando-se o resultado por 100), não devendo ser preenchida. </t>
        </r>
        <r>
          <rPr>
            <b/>
            <sz val="8"/>
            <color indexed="81"/>
            <rFont val="Arial"/>
            <family val="2"/>
          </rPr>
          <t>Ideal: 83,6%</t>
        </r>
        <r>
          <rPr>
            <sz val="8"/>
            <color indexed="81"/>
            <rFont val="Arial"/>
            <family val="2"/>
          </rPr>
          <t xml:space="preserve">. </t>
        </r>
        <r>
          <rPr>
            <b/>
            <sz val="8"/>
            <color indexed="81"/>
            <rFont val="Arial"/>
            <family val="2"/>
          </rPr>
          <t>OBS:</t>
        </r>
        <r>
          <rPr>
            <sz val="8"/>
            <color indexed="81"/>
            <rFont val="Arial"/>
            <family val="2"/>
          </rPr>
          <t xml:space="preserve"> Valores abaixo do ideal serão grafados na cor vermelha.</t>
        </r>
      </text>
    </comment>
    <comment ref="A95" authorId="2" shapeId="0" xr:uid="{00000000-0006-0000-0500-00004F000000}">
      <text>
        <r>
          <rPr>
            <b/>
            <sz val="8"/>
            <color indexed="81"/>
            <rFont val="Arial"/>
            <family val="2"/>
          </rPr>
          <t>5.14. Vacas em lactação por área (vacas/ha):</t>
        </r>
        <r>
          <rPr>
            <sz val="8"/>
            <color indexed="81"/>
            <rFont val="Arial"/>
            <family val="2"/>
          </rPr>
          <t xml:space="preserve"> média mensal do número de vacas em lactação por unidade de área (hectare). Na planilha esta célula é ocupada por uma fórmula (item </t>
        </r>
        <r>
          <rPr>
            <b/>
            <sz val="8"/>
            <color indexed="81"/>
            <rFont val="Arial"/>
            <family val="2"/>
          </rPr>
          <t>5.10</t>
        </r>
        <r>
          <rPr>
            <sz val="8"/>
            <color indexed="81"/>
            <rFont val="Arial"/>
            <family val="2"/>
          </rPr>
          <t xml:space="preserve"> dividido pelo item </t>
        </r>
        <r>
          <rPr>
            <b/>
            <sz val="8"/>
            <color indexed="81"/>
            <rFont val="Arial"/>
            <family val="2"/>
          </rPr>
          <t>5.32</t>
        </r>
        <r>
          <rPr>
            <sz val="8"/>
            <color indexed="81"/>
            <rFont val="Arial"/>
            <family val="2"/>
          </rPr>
          <t>), não devendo ser preenchida. Ideal: no mínimo, 4 vacas em lactação por hectare.</t>
        </r>
      </text>
    </comment>
    <comment ref="A96" authorId="2" shapeId="0" xr:uid="{00000000-0006-0000-0500-000050000000}">
      <text>
        <r>
          <rPr>
            <b/>
            <sz val="8"/>
            <color indexed="81"/>
            <rFont val="Arial"/>
            <family val="2"/>
          </rPr>
          <t>5.15. Média das vacas em lactação (l/vaca.dia):</t>
        </r>
        <r>
          <rPr>
            <sz val="8"/>
            <color indexed="81"/>
            <rFont val="Arial"/>
            <family val="2"/>
          </rPr>
          <t xml:space="preserve"> média mensal da produção diária de leite das vacas em lactação. Na planilha esta célula é ocupada por uma fórmula (item </t>
        </r>
        <r>
          <rPr>
            <b/>
            <sz val="8"/>
            <color indexed="81"/>
            <rFont val="Arial"/>
            <family val="2"/>
          </rPr>
          <t>5.9</t>
        </r>
        <r>
          <rPr>
            <sz val="8"/>
            <color indexed="81"/>
            <rFont val="Arial"/>
            <family val="2"/>
          </rPr>
          <t xml:space="preserve"> dividido pelo item </t>
        </r>
        <r>
          <rPr>
            <b/>
            <sz val="8"/>
            <color indexed="81"/>
            <rFont val="Arial"/>
            <family val="2"/>
          </rPr>
          <t>5.11</t>
        </r>
        <r>
          <rPr>
            <sz val="8"/>
            <color indexed="81"/>
            <rFont val="Arial"/>
            <family val="2"/>
          </rPr>
          <t>), não devendo ser preenchida.</t>
        </r>
      </text>
    </comment>
    <comment ref="A97" authorId="2" shapeId="0" xr:uid="{00000000-0006-0000-0500-000051000000}">
      <text>
        <r>
          <rPr>
            <b/>
            <sz val="8"/>
            <color indexed="81"/>
            <rFont val="Arial"/>
            <family val="2"/>
          </rPr>
          <t xml:space="preserve">5.16. Média das vacas do rebanho (l/vaca.dia): </t>
        </r>
        <r>
          <rPr>
            <sz val="8"/>
            <color indexed="81"/>
            <rFont val="Arial"/>
            <family val="2"/>
          </rPr>
          <t xml:space="preserve">média mensal da produção diária de leite do total de vacas existentes no rebanho. Na planilha esta célula é ocupada por uma fórmula (item </t>
        </r>
        <r>
          <rPr>
            <b/>
            <sz val="8"/>
            <color indexed="81"/>
            <rFont val="Arial"/>
            <family val="2"/>
          </rPr>
          <t>5.9</t>
        </r>
        <r>
          <rPr>
            <sz val="8"/>
            <color indexed="81"/>
            <rFont val="Arial"/>
            <family val="2"/>
          </rPr>
          <t xml:space="preserve"> dividido pela soma dos itens </t>
        </r>
        <r>
          <rPr>
            <b/>
            <sz val="8"/>
            <color indexed="81"/>
            <rFont val="Arial"/>
            <family val="2"/>
          </rPr>
          <t>5.11 e 5.12</t>
        </r>
        <r>
          <rPr>
            <sz val="8"/>
            <color indexed="81"/>
            <rFont val="Arial"/>
            <family val="2"/>
          </rPr>
          <t>), não devendo ser preenchida.</t>
        </r>
      </text>
    </comment>
    <comment ref="A98" authorId="2" shapeId="0" xr:uid="{00000000-0006-0000-0500-000052000000}">
      <text>
        <r>
          <rPr>
            <b/>
            <sz val="8"/>
            <color indexed="81"/>
            <rFont val="Arial"/>
            <family val="2"/>
          </rPr>
          <t xml:space="preserve">5.17. Bezerras (nº): </t>
        </r>
        <r>
          <rPr>
            <sz val="8"/>
            <color indexed="81"/>
            <rFont val="Arial"/>
            <family val="2"/>
          </rPr>
          <t>quantidade de bezerras (fêmeas com menos de 12 meses de idade) existentes no rebanho, mês a mês.</t>
        </r>
      </text>
    </comment>
    <comment ref="A99" authorId="2" shapeId="0" xr:uid="{00000000-0006-0000-0500-000053000000}">
      <text>
        <r>
          <rPr>
            <b/>
            <sz val="8"/>
            <color indexed="81"/>
            <rFont val="Arial"/>
            <family val="2"/>
          </rPr>
          <t xml:space="preserve">5.18. Novilhas (nº): </t>
        </r>
        <r>
          <rPr>
            <sz val="8"/>
            <color indexed="81"/>
            <rFont val="Arial"/>
            <family val="2"/>
          </rPr>
          <t>quantidade de novilhas (fêmeas com mais de 12 meses de idade e que ainda não pariram) existentes no rebanho, mês a mês.</t>
        </r>
      </text>
    </comment>
    <comment ref="A100" authorId="2" shapeId="0" xr:uid="{00000000-0006-0000-0500-000054000000}">
      <text>
        <r>
          <rPr>
            <b/>
            <sz val="8"/>
            <color indexed="81"/>
            <rFont val="Arial"/>
            <family val="2"/>
          </rPr>
          <t xml:space="preserve">5.19. Bezerros, garrotes e touros (nº): </t>
        </r>
        <r>
          <rPr>
            <sz val="8"/>
            <color indexed="81"/>
            <rFont val="Arial"/>
            <family val="2"/>
          </rPr>
          <t>quantidade de bezerros, garrotes e touros existentes no rebanho, mês a mês.</t>
        </r>
      </text>
    </comment>
    <comment ref="A101" authorId="2" shapeId="0" xr:uid="{00000000-0006-0000-0500-000055000000}">
      <text>
        <r>
          <rPr>
            <b/>
            <sz val="8"/>
            <color indexed="81"/>
            <rFont val="Arial"/>
            <family val="2"/>
          </rPr>
          <t xml:space="preserve">5.20. Vacas no rebanho (%): </t>
        </r>
        <r>
          <rPr>
            <sz val="8"/>
            <color indexed="81"/>
            <rFont val="Arial"/>
            <family val="2"/>
          </rPr>
          <t xml:space="preserve">proporção de vacas existentes no rebanho. Na planilha esta célula é ocupada por uma fórmula (divisão da soma dos itens </t>
        </r>
        <r>
          <rPr>
            <b/>
            <sz val="8"/>
            <color indexed="81"/>
            <rFont val="Arial"/>
            <family val="2"/>
          </rPr>
          <t>5.11</t>
        </r>
        <r>
          <rPr>
            <sz val="8"/>
            <color indexed="81"/>
            <rFont val="Arial"/>
            <family val="2"/>
          </rPr>
          <t xml:space="preserve"> e </t>
        </r>
        <r>
          <rPr>
            <b/>
            <sz val="8"/>
            <color indexed="81"/>
            <rFont val="Arial"/>
            <family val="2"/>
          </rPr>
          <t>5.12</t>
        </r>
        <r>
          <rPr>
            <sz val="8"/>
            <color indexed="81"/>
            <rFont val="Arial"/>
            <family val="2"/>
          </rPr>
          <t xml:space="preserve"> pela soma dos itens </t>
        </r>
        <r>
          <rPr>
            <b/>
            <sz val="8"/>
            <color indexed="81"/>
            <rFont val="Arial"/>
            <family val="2"/>
          </rPr>
          <t>5.11, 5.12, 5.17, 5.18</t>
        </r>
        <r>
          <rPr>
            <sz val="8"/>
            <color indexed="81"/>
            <rFont val="Arial"/>
            <family val="2"/>
          </rPr>
          <t xml:space="preserve"> e </t>
        </r>
        <r>
          <rPr>
            <b/>
            <sz val="8"/>
            <color indexed="81"/>
            <rFont val="Arial"/>
            <family val="2"/>
          </rPr>
          <t>5.19</t>
        </r>
        <r>
          <rPr>
            <sz val="8"/>
            <color indexed="81"/>
            <rFont val="Arial"/>
            <family val="2"/>
          </rPr>
          <t xml:space="preserve">, multiplicando-se o resultado por 100), não devendo ser preenchida. </t>
        </r>
        <r>
          <rPr>
            <b/>
            <sz val="8"/>
            <color indexed="81"/>
            <rFont val="Arial"/>
            <family val="2"/>
          </rPr>
          <t>Ideal: no mínimo 60% de vacas no rebanho</t>
        </r>
        <r>
          <rPr>
            <sz val="8"/>
            <color indexed="81"/>
            <rFont val="Arial"/>
            <family val="2"/>
          </rPr>
          <t xml:space="preserve">. </t>
        </r>
        <r>
          <rPr>
            <b/>
            <sz val="8"/>
            <color indexed="81"/>
            <rFont val="Arial"/>
            <family val="2"/>
          </rPr>
          <t>OBS:</t>
        </r>
        <r>
          <rPr>
            <sz val="8"/>
            <color indexed="81"/>
            <rFont val="Arial"/>
            <family val="2"/>
          </rPr>
          <t xml:space="preserve"> Valores abaixo do ideal serão grafados na cor vermelha.</t>
        </r>
      </text>
    </comment>
    <comment ref="A102" authorId="2" shapeId="0" xr:uid="{00000000-0006-0000-0500-000056000000}">
      <text>
        <r>
          <rPr>
            <b/>
            <sz val="8"/>
            <color indexed="81"/>
            <rFont val="Arial"/>
            <family val="2"/>
          </rPr>
          <t xml:space="preserve">5.21. Vacas em lactação no rebanho (%): </t>
        </r>
        <r>
          <rPr>
            <sz val="8"/>
            <color indexed="81"/>
            <rFont val="Arial"/>
            <family val="2"/>
          </rPr>
          <t xml:space="preserve">proporção de vacas em lactação existentes no rebanho. Na planilha esta célula é ocupada por uma fórmula (divisão do item </t>
        </r>
        <r>
          <rPr>
            <b/>
            <sz val="8"/>
            <color indexed="81"/>
            <rFont val="Arial"/>
            <family val="2"/>
          </rPr>
          <t>5.11</t>
        </r>
        <r>
          <rPr>
            <sz val="8"/>
            <color indexed="81"/>
            <rFont val="Arial"/>
            <family val="2"/>
          </rPr>
          <t xml:space="preserve"> pela soma dos itens </t>
        </r>
        <r>
          <rPr>
            <b/>
            <sz val="8"/>
            <color indexed="81"/>
            <rFont val="Arial"/>
            <family val="2"/>
          </rPr>
          <t>5.11, 5.12, 5.17, 5.18</t>
        </r>
        <r>
          <rPr>
            <sz val="8"/>
            <color indexed="81"/>
            <rFont val="Arial"/>
            <family val="2"/>
          </rPr>
          <t xml:space="preserve"> e </t>
        </r>
        <r>
          <rPr>
            <b/>
            <sz val="8"/>
            <color indexed="81"/>
            <rFont val="Arial"/>
            <family val="2"/>
          </rPr>
          <t>5.19</t>
        </r>
        <r>
          <rPr>
            <sz val="8"/>
            <color indexed="81"/>
            <rFont val="Arial"/>
            <family val="2"/>
          </rPr>
          <t xml:space="preserve">, multiplicando-se o resultado por 100), não devendo ser preenchida. </t>
        </r>
        <r>
          <rPr>
            <b/>
            <sz val="8"/>
            <color indexed="81"/>
            <rFont val="Arial"/>
            <family val="2"/>
          </rPr>
          <t>Ideal: no mínimo 50% de vacas em lactação no rebanho</t>
        </r>
        <r>
          <rPr>
            <sz val="8"/>
            <color indexed="81"/>
            <rFont val="Arial"/>
            <family val="2"/>
          </rPr>
          <t xml:space="preserve">. </t>
        </r>
        <r>
          <rPr>
            <b/>
            <sz val="8"/>
            <color indexed="81"/>
            <rFont val="Arial"/>
            <family val="2"/>
          </rPr>
          <t>OBS:</t>
        </r>
        <r>
          <rPr>
            <sz val="8"/>
            <color indexed="81"/>
            <rFont val="Arial"/>
            <family val="2"/>
          </rPr>
          <t xml:space="preserve"> Valores abaixo do ideal serão grafados na cor vermelha. </t>
        </r>
      </text>
    </comment>
    <comment ref="A103" authorId="2" shapeId="0" xr:uid="{00000000-0006-0000-0500-000057000000}">
      <text>
        <r>
          <rPr>
            <b/>
            <sz val="8"/>
            <color indexed="81"/>
            <rFont val="Arial"/>
            <family val="2"/>
          </rPr>
          <t>5.22. Mão-de-obra (familiar e remunerada):</t>
        </r>
        <r>
          <rPr>
            <sz val="8"/>
            <color indexed="81"/>
            <rFont val="Arial"/>
            <family val="2"/>
          </rPr>
          <t xml:space="preserve"> quantidade </t>
        </r>
        <r>
          <rPr>
            <b/>
            <sz val="8"/>
            <color indexed="81"/>
            <rFont val="Arial"/>
            <family val="2"/>
          </rPr>
          <t>(nº)</t>
        </r>
        <r>
          <rPr>
            <sz val="8"/>
            <color indexed="81"/>
            <rFont val="Arial"/>
            <family val="2"/>
          </rPr>
          <t xml:space="preserve"> de pessoas que trabalham na atividade leiteira ao longo do mês, sendo considerada tanto a mão-de-obra familiar, como a mão-de-obra contratada. Se a mão-de-obra familiar e/ou contratada trabalhar menos de 15 dias do mês, desconsiderar. Caso trabalhe 15 dias ou mais, considerar como uma pessoa a mais trabalhando na propriedade leiteira naquele mês.</t>
        </r>
      </text>
    </comment>
    <comment ref="A104" authorId="2" shapeId="0" xr:uid="{00000000-0006-0000-0500-000058000000}">
      <text>
        <r>
          <rPr>
            <b/>
            <sz val="8"/>
            <color indexed="81"/>
            <rFont val="Arial"/>
            <family val="2"/>
          </rPr>
          <t>5.23. Leite por Homem por dia (l/H.dia):</t>
        </r>
        <r>
          <rPr>
            <sz val="8"/>
            <color indexed="81"/>
            <rFont val="Arial"/>
            <family val="2"/>
          </rPr>
          <t xml:space="preserve"> quantidade mensal de leite dividida pelo número de pessoas que trabalharam na propriedade naquele mês. Esta célula é ocupada por uma fórmula (item </t>
        </r>
        <r>
          <rPr>
            <b/>
            <sz val="8"/>
            <color indexed="81"/>
            <rFont val="Arial"/>
            <family val="2"/>
          </rPr>
          <t>5.8</t>
        </r>
        <r>
          <rPr>
            <sz val="8"/>
            <color indexed="81"/>
            <rFont val="Arial"/>
            <family val="2"/>
          </rPr>
          <t xml:space="preserve"> dividido pelo item </t>
        </r>
        <r>
          <rPr>
            <b/>
            <sz val="8"/>
            <color indexed="81"/>
            <rFont val="Arial"/>
            <family val="2"/>
          </rPr>
          <t>5.22</t>
        </r>
        <r>
          <rPr>
            <sz val="8"/>
            <color indexed="81"/>
            <rFont val="Arial"/>
            <family val="2"/>
          </rPr>
          <t xml:space="preserve">, sendo o resultado dividido pelo número de dias de cada mês), não devendo ser preenchida. </t>
        </r>
        <r>
          <rPr>
            <b/>
            <sz val="8"/>
            <color indexed="81"/>
            <rFont val="Arial"/>
            <family val="2"/>
          </rPr>
          <t>Ideal: no mínimo, 500 litros por Homem por dia.</t>
        </r>
      </text>
    </comment>
    <comment ref="A105" authorId="1" shapeId="0" xr:uid="{00000000-0006-0000-0500-000059000000}">
      <text>
        <r>
          <rPr>
            <b/>
            <sz val="8"/>
            <color indexed="81"/>
            <rFont val="Arial"/>
            <family val="2"/>
          </rPr>
          <t>5.24. Vacas por Homem por dia (nº/H.dia)</t>
        </r>
        <r>
          <rPr>
            <sz val="8"/>
            <color indexed="81"/>
            <rFont val="Arial"/>
            <family val="2"/>
          </rPr>
          <t xml:space="preserve">: quantidade mensal de vacas (em lactação e secas) dividida pelo número de pessoas que trabalharam na propriedade naquele mês. Esta célula é ocupada por uma fórmula (soma dos itens </t>
        </r>
        <r>
          <rPr>
            <b/>
            <sz val="8"/>
            <color indexed="81"/>
            <rFont val="Arial"/>
            <family val="2"/>
          </rPr>
          <t>5.11</t>
        </r>
        <r>
          <rPr>
            <sz val="8"/>
            <color indexed="81"/>
            <rFont val="Arial"/>
            <family val="2"/>
          </rPr>
          <t xml:space="preserve"> e </t>
        </r>
        <r>
          <rPr>
            <b/>
            <sz val="8"/>
            <color indexed="81"/>
            <rFont val="Arial"/>
            <family val="2"/>
          </rPr>
          <t>5.12</t>
        </r>
        <r>
          <rPr>
            <sz val="8"/>
            <color indexed="81"/>
            <rFont val="Arial"/>
            <family val="2"/>
          </rPr>
          <t xml:space="preserve"> dividida item </t>
        </r>
        <r>
          <rPr>
            <b/>
            <sz val="8"/>
            <color indexed="81"/>
            <rFont val="Arial"/>
            <family val="2"/>
          </rPr>
          <t>5.22</t>
        </r>
        <r>
          <rPr>
            <sz val="8"/>
            <color indexed="81"/>
            <rFont val="Arial"/>
            <family val="2"/>
          </rPr>
          <t xml:space="preserve">), não devendo ser preenchida. </t>
        </r>
        <r>
          <rPr>
            <b/>
            <sz val="8"/>
            <color indexed="81"/>
            <rFont val="Arial"/>
            <family val="2"/>
          </rPr>
          <t>Ideal: no mínimo, 50 vacas por Homem por dia.</t>
        </r>
      </text>
    </comment>
    <comment ref="A106" authorId="2" shapeId="0" xr:uid="{00000000-0006-0000-0500-00005A000000}">
      <text>
        <r>
          <rPr>
            <b/>
            <sz val="8"/>
            <color indexed="81"/>
            <rFont val="Arial"/>
            <family val="2"/>
          </rPr>
          <t>5.25. Animais:equivalente-leite (EQ-L):</t>
        </r>
        <r>
          <rPr>
            <sz val="8"/>
            <color indexed="81"/>
            <rFont val="Arial"/>
            <family val="2"/>
          </rPr>
          <t xml:space="preserve"> transformação </t>
        </r>
        <r>
          <rPr>
            <b/>
            <sz val="8"/>
            <color indexed="81"/>
            <rFont val="Arial"/>
            <family val="2"/>
          </rPr>
          <t>em litros</t>
        </r>
        <r>
          <rPr>
            <sz val="8"/>
            <color indexed="81"/>
            <rFont val="Arial"/>
            <family val="2"/>
          </rPr>
          <t xml:space="preserve"> do valor da venda de bezerras, novilhas, vacas e outros animais ligados à atividade leiteira, somado ao valor de serviço prestado para terceiros utilizando máquinas e equipamentos alocados na atividade leiteira, somado ao valor oriundo da venda de máquinas e implementos alocados na atividade leiteira, além de outras receitas explicitadas no item 4.8, sendo tudo transformado em litros de leite. O somatório de todas essas receitas é dividido pela média do preço do litro de leite no mês em que ocorreu uma ou mais destas receitas. Esta célula é ocupada por uma fórmula (soma dos itens </t>
        </r>
        <r>
          <rPr>
            <b/>
            <sz val="8"/>
            <color indexed="81"/>
            <rFont val="Arial"/>
            <family val="2"/>
          </rPr>
          <t>4.5.5, 4.6, 4.7 e 4.8</t>
        </r>
        <r>
          <rPr>
            <sz val="8"/>
            <color indexed="81"/>
            <rFont val="Arial"/>
            <family val="2"/>
          </rPr>
          <t xml:space="preserve"> dividida pelo item </t>
        </r>
        <r>
          <rPr>
            <b/>
            <sz val="8"/>
            <color indexed="81"/>
            <rFont val="Arial"/>
            <family val="2"/>
          </rPr>
          <t>6.4</t>
        </r>
        <r>
          <rPr>
            <sz val="8"/>
            <color indexed="81"/>
            <rFont val="Arial"/>
            <family val="2"/>
          </rPr>
          <t>), não devendo ser preenchida.</t>
        </r>
      </text>
    </comment>
    <comment ref="A107" authorId="0" shapeId="0" xr:uid="{00000000-0006-0000-0500-00005B000000}">
      <text>
        <r>
          <rPr>
            <b/>
            <sz val="8"/>
            <color indexed="81"/>
            <rFont val="Arial"/>
            <family val="2"/>
          </rPr>
          <t>5.26. Área arrendada utilizada (ha):</t>
        </r>
        <r>
          <rPr>
            <sz val="8"/>
            <color indexed="81"/>
            <rFont val="Arial"/>
            <family val="2"/>
          </rPr>
          <t xml:space="preserve"> área em hectares alugada fora da propriedade para manter o rebanho. </t>
        </r>
        <r>
          <rPr>
            <b/>
            <sz val="8"/>
            <color indexed="81"/>
            <rFont val="Arial"/>
            <family val="2"/>
          </rPr>
          <t>Observação Importante</t>
        </r>
        <r>
          <rPr>
            <sz val="8"/>
            <color indexed="81"/>
            <rFont val="Arial"/>
            <family val="2"/>
          </rPr>
          <t xml:space="preserve"> - caso não haja o arrendamento de área alguma, escrever necessariamente na célula, o número zero (0).</t>
        </r>
      </text>
    </comment>
    <comment ref="A108" authorId="1" shapeId="0" xr:uid="{00000000-0006-0000-0500-00005C000000}">
      <text>
        <r>
          <rPr>
            <b/>
            <sz val="8"/>
            <color indexed="81"/>
            <rFont val="Arial"/>
            <family val="2"/>
          </rPr>
          <t>5.27. Volumoso comprado - silagem (t):</t>
        </r>
        <r>
          <rPr>
            <sz val="8"/>
            <color indexed="81"/>
            <rFont val="Arial"/>
            <family val="2"/>
          </rPr>
          <t xml:space="preserve"> quantidade em toneladas de alimento volumoso comprado, no caso, silagem de milho, considerando produtividade de 35 toneladas de matéria original por hectare. Caso seja considerada produtividade diferente ou seja comprada silagem pré-secada de gramínea forrageira temperada (aveia, azevém, etc.) haverá a necessidade de se alterar o denominador na fórmula existente no item </t>
        </r>
        <r>
          <rPr>
            <b/>
            <sz val="8"/>
            <color indexed="81"/>
            <rFont val="Arial"/>
            <family val="2"/>
          </rPr>
          <t>5.28</t>
        </r>
        <r>
          <rPr>
            <sz val="8"/>
            <color indexed="81"/>
            <rFont val="Arial"/>
            <family val="2"/>
          </rPr>
          <t>).</t>
        </r>
      </text>
    </comment>
    <comment ref="A109" authorId="1" shapeId="0" xr:uid="{00000000-0006-0000-0500-00005D000000}">
      <text>
        <r>
          <rPr>
            <b/>
            <sz val="8"/>
            <color indexed="81"/>
            <rFont val="Arial"/>
            <family val="2"/>
          </rPr>
          <t>5.28. Área correspondente à silagem comprada (ha):</t>
        </r>
        <r>
          <rPr>
            <sz val="8"/>
            <color indexed="81"/>
            <rFont val="Arial"/>
            <family val="2"/>
          </rPr>
          <t xml:space="preserve"> quantidade de área em hectares, equivalente ao volume de silagem adquirida considerando a </t>
        </r>
        <r>
          <rPr>
            <b/>
            <sz val="8"/>
            <color indexed="81"/>
            <rFont val="Arial"/>
            <family val="2"/>
          </rPr>
          <t>produtividade da cultura de milho comprada de 35 toneladas de matéria original por hectare</t>
        </r>
        <r>
          <rPr>
            <sz val="8"/>
            <color indexed="81"/>
            <rFont val="Arial"/>
            <family val="2"/>
          </rPr>
          <t xml:space="preserve">. Esta célula é ocupada por uma fórmula (item </t>
        </r>
        <r>
          <rPr>
            <b/>
            <sz val="8"/>
            <color indexed="81"/>
            <rFont val="Arial"/>
            <family val="2"/>
          </rPr>
          <t>5.27</t>
        </r>
        <r>
          <rPr>
            <sz val="8"/>
            <color indexed="81"/>
            <rFont val="Arial"/>
            <family val="2"/>
          </rPr>
          <t xml:space="preserve"> dividido por </t>
        </r>
        <r>
          <rPr>
            <b/>
            <sz val="8"/>
            <color indexed="81"/>
            <rFont val="Arial"/>
            <family val="2"/>
          </rPr>
          <t>35</t>
        </r>
        <r>
          <rPr>
            <sz val="8"/>
            <color indexed="81"/>
            <rFont val="Arial"/>
            <family val="2"/>
          </rPr>
          <t xml:space="preserve">), não devendo ser preenchida. Caso seja comprada </t>
        </r>
        <r>
          <rPr>
            <b/>
            <sz val="8"/>
            <color indexed="81"/>
            <rFont val="Arial"/>
            <family val="2"/>
          </rPr>
          <t>silagem pré-secada de gramínea forrageira temperada</t>
        </r>
        <r>
          <rPr>
            <sz val="8"/>
            <color indexed="81"/>
            <rFont val="Arial"/>
            <family val="2"/>
          </rPr>
          <t xml:space="preserve"> (aveia, azevém, etc.) substitua o denominador 35 da fórmula pelo número </t>
        </r>
        <r>
          <rPr>
            <b/>
            <sz val="8"/>
            <color indexed="81"/>
            <rFont val="Arial"/>
            <family val="2"/>
          </rPr>
          <t>20</t>
        </r>
        <r>
          <rPr>
            <sz val="8"/>
            <color indexed="81"/>
            <rFont val="Arial"/>
            <family val="2"/>
          </rPr>
          <t xml:space="preserve">. Caso seja comprada </t>
        </r>
        <r>
          <rPr>
            <b/>
            <sz val="8"/>
            <color indexed="81"/>
            <rFont val="Arial"/>
            <family val="2"/>
          </rPr>
          <t>silagem pré-secada de gramínea forrageira tropical</t>
        </r>
        <r>
          <rPr>
            <sz val="8"/>
            <color indexed="81"/>
            <rFont val="Arial"/>
            <family val="2"/>
          </rPr>
          <t xml:space="preserve"> (jiggs, tifton, etc.), substitua o denominador 35 da fórmula pelo número </t>
        </r>
        <r>
          <rPr>
            <b/>
            <sz val="8"/>
            <color indexed="81"/>
            <rFont val="Arial"/>
            <family val="2"/>
          </rPr>
          <t>30</t>
        </r>
        <r>
          <rPr>
            <sz val="8"/>
            <color indexed="81"/>
            <rFont val="Arial"/>
            <family val="2"/>
          </rPr>
          <t>.</t>
        </r>
      </text>
    </comment>
    <comment ref="A110" authorId="1" shapeId="0" xr:uid="{00000000-0006-0000-0500-00005E000000}">
      <text>
        <r>
          <rPr>
            <b/>
            <sz val="8"/>
            <color indexed="81"/>
            <rFont val="Arial"/>
            <family val="2"/>
          </rPr>
          <t>5.29. Volumoso comprado - cana-de-açúcar ou feno (t):</t>
        </r>
        <r>
          <rPr>
            <sz val="8"/>
            <color indexed="81"/>
            <rFont val="Arial"/>
            <family val="2"/>
          </rPr>
          <t xml:space="preserve"> quantidade em toneladas de alimento volumoso comprado, no caso, cana-de-açúcar ou feno de gramínea forrageira,  considerando produtividades de 80 toneladas de matéria original de cana-de-açúcar por hectare ou 15 toneladas de feno (matperia original) por hectare. Caso sejam consideradas produtividades diferentes das consideradas haverá a necessidade de se alterar o denominador na fórmula existente no item 5.30).</t>
        </r>
      </text>
    </comment>
    <comment ref="A111" authorId="1" shapeId="0" xr:uid="{00000000-0006-0000-0500-00005F000000}">
      <text>
        <r>
          <rPr>
            <b/>
            <sz val="8"/>
            <color indexed="81"/>
            <rFont val="Arial"/>
            <family val="2"/>
          </rPr>
          <t>5.30. Área correspondente à cana-de-açúcar ou ao feno comprado (ha):</t>
        </r>
        <r>
          <rPr>
            <sz val="8"/>
            <color indexed="81"/>
            <rFont val="Arial"/>
            <family val="2"/>
          </rPr>
          <t xml:space="preserve"> quantidade de área em hectares, equivalente ao volume de cana-de-açúcar ou ao feno adquirido considerando as </t>
        </r>
        <r>
          <rPr>
            <b/>
            <sz val="8"/>
            <color indexed="81"/>
            <rFont val="Arial"/>
            <family val="2"/>
          </rPr>
          <t>produtividades da cultura de cana-de-açúcar de 80 toneladas de matéria original por hectare e da cultura de gramínea forrageira comprada de 15 toneladas de matéria original por hectare</t>
        </r>
        <r>
          <rPr>
            <sz val="8"/>
            <color indexed="81"/>
            <rFont val="Arial"/>
            <family val="2"/>
          </rPr>
          <t xml:space="preserve">. Esta célula é ocupada por uma fórmula (item </t>
        </r>
        <r>
          <rPr>
            <b/>
            <sz val="8"/>
            <color indexed="81"/>
            <rFont val="Arial"/>
            <family val="2"/>
          </rPr>
          <t>5.29</t>
        </r>
        <r>
          <rPr>
            <sz val="8"/>
            <color indexed="81"/>
            <rFont val="Arial"/>
            <family val="2"/>
          </rPr>
          <t xml:space="preserve"> dividido por </t>
        </r>
        <r>
          <rPr>
            <b/>
            <sz val="8"/>
            <color indexed="81"/>
            <rFont val="Arial"/>
            <family val="2"/>
          </rPr>
          <t>80</t>
        </r>
        <r>
          <rPr>
            <sz val="8"/>
            <color indexed="81"/>
            <rFont val="Arial"/>
            <family val="2"/>
          </rPr>
          <t xml:space="preserve"> ou por </t>
        </r>
        <r>
          <rPr>
            <b/>
            <sz val="8"/>
            <color indexed="81"/>
            <rFont val="Arial"/>
            <family val="2"/>
          </rPr>
          <t>15</t>
        </r>
        <r>
          <rPr>
            <sz val="8"/>
            <color indexed="81"/>
            <rFont val="Arial"/>
            <family val="2"/>
          </rPr>
          <t>), não devendo ser preenchida. Caso a produtividade seja maior ou menor, basta alterar o denominador (80) pelo valor desejado.</t>
        </r>
      </text>
    </comment>
    <comment ref="A112" authorId="0" shapeId="0" xr:uid="{00000000-0006-0000-0500-000060000000}">
      <text>
        <r>
          <rPr>
            <b/>
            <sz val="8"/>
            <color indexed="81"/>
            <rFont val="Arial"/>
            <family val="2"/>
          </rPr>
          <t>5.31. Área própria utilizada (ha):</t>
        </r>
        <r>
          <rPr>
            <sz val="8"/>
            <color indexed="81"/>
            <rFont val="Arial"/>
            <family val="2"/>
          </rPr>
          <t xml:space="preserve"> área em hectares utilizada para o desenvolvimento da atividade leiteira, ou seja, áreas com pastagens, cana-de-açúcar, palma forrageira, culturas para ensilagem, campos para fenação, forrageiras de inverno e áreas ocupadas pelas benfeitorias, estradas e corredores internos. Esta célula é ocupada por uma fórmula (pasta </t>
        </r>
        <r>
          <rPr>
            <b/>
            <sz val="8"/>
            <color indexed="81"/>
            <rFont val="Arial"/>
            <family val="2"/>
          </rPr>
          <t>Terra</t>
        </r>
        <r>
          <rPr>
            <sz val="8"/>
            <color indexed="81"/>
            <rFont val="Arial"/>
            <family val="2"/>
          </rPr>
          <t>), não devendo ser preenchida.</t>
        </r>
      </text>
    </comment>
    <comment ref="A113" authorId="0" shapeId="0" xr:uid="{00000000-0006-0000-0500-000061000000}">
      <text>
        <r>
          <rPr>
            <b/>
            <sz val="8"/>
            <color indexed="81"/>
            <rFont val="Arial"/>
            <family val="2"/>
          </rPr>
          <t>5.32. Área total utilizada (ha):</t>
        </r>
        <r>
          <rPr>
            <sz val="8"/>
            <color indexed="81"/>
            <rFont val="Arial"/>
            <family val="2"/>
          </rPr>
          <t xml:space="preserve"> Área total utilizada em hectares pela atividade leiteira computando todas as glebas próprias ou arrendadas destinadas à produção de alimentos volumosos, bem como as áreas correspondentes a volumosos comprados (silagens e fenos) para </t>
        </r>
        <r>
          <rPr>
            <b/>
            <sz val="8"/>
            <color indexed="81"/>
            <rFont val="Arial"/>
            <family val="2"/>
          </rPr>
          <t>TODO O REBANHO</t>
        </r>
        <r>
          <rPr>
            <sz val="8"/>
            <color indexed="81"/>
            <rFont val="Arial"/>
            <family val="2"/>
          </rPr>
          <t xml:space="preserve">. Esta célula é ocupada por uma fórmula (soma dos itens </t>
        </r>
        <r>
          <rPr>
            <b/>
            <sz val="8"/>
            <color indexed="81"/>
            <rFont val="Arial"/>
            <family val="2"/>
          </rPr>
          <t xml:space="preserve">5.26, 5.28, 5.30 </t>
        </r>
        <r>
          <rPr>
            <sz val="8"/>
            <color indexed="81"/>
            <rFont val="Arial"/>
            <family val="2"/>
          </rPr>
          <t xml:space="preserve">e </t>
        </r>
        <r>
          <rPr>
            <b/>
            <sz val="8"/>
            <color indexed="81"/>
            <rFont val="Arial"/>
            <family val="2"/>
          </rPr>
          <t>5.31</t>
        </r>
        <r>
          <rPr>
            <sz val="8"/>
            <color indexed="81"/>
            <rFont val="Arial"/>
            <family val="2"/>
          </rPr>
          <t>), não devendo ser preenchida.</t>
        </r>
      </text>
    </comment>
    <comment ref="A114" authorId="2" shapeId="0" xr:uid="{00000000-0006-0000-0500-000062000000}">
      <text>
        <r>
          <rPr>
            <b/>
            <sz val="8"/>
            <color indexed="81"/>
            <rFont val="Arial"/>
            <family val="2"/>
          </rPr>
          <t xml:space="preserve">5.33. Produtividade (litros/ha): </t>
        </r>
        <r>
          <rPr>
            <sz val="8"/>
            <color indexed="81"/>
            <rFont val="Arial"/>
            <family val="2"/>
          </rPr>
          <t xml:space="preserve">quantidade mensal de leite produzido dividida pela área total utilizada pela atividade leiteira em hectares. Esta célula é ocupada por uma fórmula (item </t>
        </r>
        <r>
          <rPr>
            <b/>
            <sz val="8"/>
            <color indexed="81"/>
            <rFont val="Arial"/>
            <family val="2"/>
          </rPr>
          <t>5.8</t>
        </r>
        <r>
          <rPr>
            <sz val="8"/>
            <color indexed="81"/>
            <rFont val="Arial"/>
            <family val="2"/>
          </rPr>
          <t xml:space="preserve"> dividido pelo item </t>
        </r>
        <r>
          <rPr>
            <b/>
            <sz val="8"/>
            <color indexed="81"/>
            <rFont val="Arial"/>
            <family val="2"/>
          </rPr>
          <t>5.32</t>
        </r>
        <r>
          <rPr>
            <sz val="8"/>
            <color indexed="81"/>
            <rFont val="Arial"/>
            <family val="2"/>
          </rPr>
          <t>), não devendo ser preenchida.</t>
        </r>
      </text>
    </comment>
    <comment ref="A115" authorId="2" shapeId="0" xr:uid="{00000000-0006-0000-0500-000063000000}">
      <text>
        <r>
          <rPr>
            <b/>
            <sz val="8"/>
            <color indexed="81"/>
            <rFont val="Arial"/>
            <family val="2"/>
          </rPr>
          <t xml:space="preserve">5.34. Produtividade com EQ-L (litro/ha): </t>
        </r>
        <r>
          <rPr>
            <sz val="8"/>
            <color indexed="81"/>
            <rFont val="Arial"/>
            <family val="2"/>
          </rPr>
          <t xml:space="preserve">produção mensal de leite somada à transformação da venda de animais em equivalente-leite, dividindo-se o resultado pela área da propriedade utilizada pela atividade leiteira em hectares. Esta célula é ocupada por uma fórmula (item </t>
        </r>
        <r>
          <rPr>
            <b/>
            <sz val="8"/>
            <color indexed="81"/>
            <rFont val="Arial"/>
            <family val="2"/>
          </rPr>
          <t>5.8</t>
        </r>
        <r>
          <rPr>
            <sz val="8"/>
            <color indexed="81"/>
            <rFont val="Arial"/>
            <family val="2"/>
          </rPr>
          <t xml:space="preserve"> mais item </t>
        </r>
        <r>
          <rPr>
            <b/>
            <sz val="8"/>
            <color indexed="81"/>
            <rFont val="Arial"/>
            <family val="2"/>
          </rPr>
          <t>5.25</t>
        </r>
        <r>
          <rPr>
            <sz val="8"/>
            <color indexed="81"/>
            <rFont val="Arial"/>
            <family val="2"/>
          </rPr>
          <t xml:space="preserve">, dividindo-se o resultado pelo item </t>
        </r>
        <r>
          <rPr>
            <b/>
            <sz val="8"/>
            <color indexed="81"/>
            <rFont val="Arial"/>
            <family val="2"/>
          </rPr>
          <t>5.32</t>
        </r>
        <r>
          <rPr>
            <sz val="8"/>
            <color indexed="81"/>
            <rFont val="Arial"/>
            <family val="2"/>
          </rPr>
          <t xml:space="preserve">), não devendo ser preenchida. </t>
        </r>
        <r>
          <rPr>
            <b/>
            <sz val="8"/>
            <color indexed="81"/>
            <rFont val="Arial"/>
            <family val="2"/>
          </rPr>
          <t>Ideal: a partir de 100 litros/ha/dia ou 36.500 litros/ha/ano.</t>
        </r>
      </text>
    </comment>
    <comment ref="A116" authorId="0" shapeId="0" xr:uid="{00000000-0006-0000-0500-000064000000}">
      <text>
        <r>
          <rPr>
            <b/>
            <sz val="8"/>
            <color indexed="81"/>
            <rFont val="Arial"/>
            <family val="2"/>
          </rPr>
          <t>5.35. Teor de gordura do leite (%):</t>
        </r>
        <r>
          <rPr>
            <sz val="8"/>
            <color indexed="81"/>
            <rFont val="Arial"/>
            <family val="2"/>
          </rPr>
          <t xml:space="preserve"> valor obtido após análise de amostra do leite coletado mensalmente no tanque de resfriamento. </t>
        </r>
        <r>
          <rPr>
            <b/>
            <sz val="8"/>
            <color indexed="81"/>
            <rFont val="Arial"/>
            <family val="2"/>
          </rPr>
          <t>Teor mínimo de gordura deverá ser de 3,00%</t>
        </r>
        <r>
          <rPr>
            <sz val="8"/>
            <color indexed="81"/>
            <rFont val="Arial"/>
            <family val="2"/>
          </rPr>
          <t xml:space="preserve">. </t>
        </r>
        <r>
          <rPr>
            <b/>
            <sz val="8"/>
            <color indexed="81"/>
            <rFont val="Arial"/>
            <family val="2"/>
          </rPr>
          <t>OBS:</t>
        </r>
        <r>
          <rPr>
            <sz val="8"/>
            <color indexed="81"/>
            <rFont val="Arial"/>
            <family val="2"/>
          </rPr>
          <t xml:space="preserve"> valores abaixo do mínimo serão grafados em vermelho.</t>
        </r>
      </text>
    </comment>
    <comment ref="A117" authorId="0" shapeId="0" xr:uid="{00000000-0006-0000-0500-000065000000}">
      <text>
        <r>
          <rPr>
            <b/>
            <sz val="8"/>
            <color indexed="81"/>
            <rFont val="Arial"/>
            <family val="2"/>
          </rPr>
          <t>5.36. Teor de proteína do leite (%):</t>
        </r>
        <r>
          <rPr>
            <sz val="8"/>
            <color indexed="81"/>
            <rFont val="Arial"/>
            <family val="2"/>
          </rPr>
          <t xml:space="preserve"> valor obtido após análise de amostra do leite coletado mensalmente no tanque de resfriamento. </t>
        </r>
        <r>
          <rPr>
            <b/>
            <sz val="8"/>
            <color indexed="81"/>
            <rFont val="Arial"/>
            <family val="2"/>
          </rPr>
          <t>Teor mínimo de proteína deverá ser de 2,90%</t>
        </r>
        <r>
          <rPr>
            <sz val="8"/>
            <color indexed="81"/>
            <rFont val="Arial"/>
            <family val="2"/>
          </rPr>
          <t xml:space="preserve">. </t>
        </r>
        <r>
          <rPr>
            <b/>
            <sz val="8"/>
            <color indexed="81"/>
            <rFont val="Arial"/>
            <family val="2"/>
          </rPr>
          <t>OBS:</t>
        </r>
        <r>
          <rPr>
            <sz val="8"/>
            <color indexed="81"/>
            <rFont val="Arial"/>
            <family val="2"/>
          </rPr>
          <t xml:space="preserve"> valores abaixo do mínimo serão grafados em vermelho.</t>
        </r>
      </text>
    </comment>
    <comment ref="A118" authorId="0" shapeId="0" xr:uid="{00000000-0006-0000-0500-000066000000}">
      <text>
        <r>
          <rPr>
            <b/>
            <sz val="8"/>
            <color indexed="81"/>
            <rFont val="Arial"/>
            <family val="2"/>
          </rPr>
          <t>5.37. Teor de sólidos totais do leite (%):</t>
        </r>
        <r>
          <rPr>
            <sz val="8"/>
            <color indexed="81"/>
            <rFont val="Arial"/>
            <family val="2"/>
          </rPr>
          <t xml:space="preserve"> valor obtido após análise de amostra do leite coletado mensalmente no tanque de resfriamento. </t>
        </r>
        <r>
          <rPr>
            <b/>
            <sz val="8"/>
            <color indexed="81"/>
            <rFont val="Arial"/>
            <family val="2"/>
          </rPr>
          <t>Teor mínimo de sólidos totais deverá ser de 11,40%</t>
        </r>
        <r>
          <rPr>
            <sz val="8"/>
            <color indexed="81"/>
            <rFont val="Arial"/>
            <family val="2"/>
          </rPr>
          <t xml:space="preserve">. </t>
        </r>
        <r>
          <rPr>
            <b/>
            <sz val="8"/>
            <color indexed="81"/>
            <rFont val="Arial"/>
            <family val="2"/>
          </rPr>
          <t>OBS:</t>
        </r>
        <r>
          <rPr>
            <sz val="8"/>
            <color indexed="81"/>
            <rFont val="Arial"/>
            <family val="2"/>
          </rPr>
          <t xml:space="preserve"> valores abaixo do mínimo serão grafados em vermelho.</t>
        </r>
      </text>
    </comment>
    <comment ref="A119" authorId="0" shapeId="0" xr:uid="{00000000-0006-0000-0500-000067000000}">
      <text>
        <r>
          <rPr>
            <b/>
            <sz val="8"/>
            <color indexed="81"/>
            <rFont val="Arial"/>
            <family val="2"/>
          </rPr>
          <t>5.38. Nitrogênio urêico no leite (mg/dl):</t>
        </r>
        <r>
          <rPr>
            <sz val="8"/>
            <color indexed="81"/>
            <rFont val="Arial"/>
            <family val="2"/>
          </rPr>
          <t xml:space="preserve"> valor obtido após análise de amostra do leite coletado mensalmente no tanque de resfriamento. </t>
        </r>
        <r>
          <rPr>
            <b/>
            <sz val="8"/>
            <color indexed="81"/>
            <rFont val="Arial"/>
            <family val="2"/>
          </rPr>
          <t>O teor nitrogênio urêico leite deverá situar-se entre 10,0 e 14,0 mg/dl</t>
        </r>
        <r>
          <rPr>
            <sz val="8"/>
            <color indexed="81"/>
            <rFont val="Arial"/>
            <family val="2"/>
          </rPr>
          <t xml:space="preserve">. </t>
        </r>
        <r>
          <rPr>
            <b/>
            <sz val="8"/>
            <color indexed="81"/>
            <rFont val="Arial"/>
            <family val="2"/>
          </rPr>
          <t>OBS:</t>
        </r>
        <r>
          <rPr>
            <sz val="8"/>
            <color indexed="81"/>
            <rFont val="Arial"/>
            <family val="2"/>
          </rPr>
          <t xml:space="preserve"> Valores fora deste intervalo serão grafados em vermelho.</t>
        </r>
      </text>
    </comment>
    <comment ref="A120" authorId="0" shapeId="0" xr:uid="{00000000-0006-0000-0500-000068000000}">
      <text>
        <r>
          <rPr>
            <b/>
            <sz val="8"/>
            <color indexed="81"/>
            <rFont val="Arial"/>
            <family val="2"/>
          </rPr>
          <t>5.39. Contagem bacteriana total (UFC/ml*1000):</t>
        </r>
        <r>
          <rPr>
            <sz val="8"/>
            <color indexed="81"/>
            <rFont val="Arial"/>
            <family val="2"/>
          </rPr>
          <t xml:space="preserve"> quantidade de unidades formadoras de colônias bacterianas em um mililitro de leite, obtida após análise de amostra do leite coletado mensalmente no tanque de resfriamento. </t>
        </r>
        <r>
          <rPr>
            <b/>
            <sz val="8"/>
            <color indexed="81"/>
            <rFont val="Arial"/>
            <family val="2"/>
          </rPr>
          <t>CBT máxima deverá ser de 100.000/ml</t>
        </r>
        <r>
          <rPr>
            <sz val="8"/>
            <color indexed="81"/>
            <rFont val="Arial"/>
            <family val="2"/>
          </rPr>
          <t xml:space="preserve">. </t>
        </r>
        <r>
          <rPr>
            <b/>
            <sz val="8"/>
            <color indexed="81"/>
            <rFont val="Arial"/>
            <family val="2"/>
          </rPr>
          <t>OBS:</t>
        </r>
        <r>
          <rPr>
            <sz val="8"/>
            <color indexed="81"/>
            <rFont val="Arial"/>
            <family val="2"/>
          </rPr>
          <t xml:space="preserve"> valores acima do máximo serão grafados em vermelho.</t>
        </r>
      </text>
    </comment>
    <comment ref="A121" authorId="0" shapeId="0" xr:uid="{00000000-0006-0000-0500-000069000000}">
      <text>
        <r>
          <rPr>
            <b/>
            <sz val="8"/>
            <color indexed="81"/>
            <rFont val="Arial"/>
            <family val="2"/>
          </rPr>
          <t>5.40. Contagem de células somáticas (CCS/ml*1000):</t>
        </r>
        <r>
          <rPr>
            <sz val="8"/>
            <color indexed="81"/>
            <rFont val="Arial"/>
            <family val="2"/>
          </rPr>
          <t xml:space="preserve"> quantidade de células somáticas em um mililitro de leite, obtida após análise de amostra do leite coletado mensalmente no tanque de resfriamento. </t>
        </r>
        <r>
          <rPr>
            <b/>
            <sz val="8"/>
            <color indexed="81"/>
            <rFont val="Arial"/>
            <family val="2"/>
          </rPr>
          <t>CCS máxima deverá ser de 400.000/ml</t>
        </r>
        <r>
          <rPr>
            <sz val="8"/>
            <color indexed="81"/>
            <rFont val="Arial"/>
            <family val="2"/>
          </rPr>
          <t xml:space="preserve">. </t>
        </r>
        <r>
          <rPr>
            <b/>
            <sz val="8"/>
            <color indexed="81"/>
            <rFont val="Arial"/>
            <family val="2"/>
          </rPr>
          <t>OBS:</t>
        </r>
        <r>
          <rPr>
            <sz val="8"/>
            <color indexed="81"/>
            <rFont val="Arial"/>
            <family val="2"/>
          </rPr>
          <t xml:space="preserve"> valores acima do máximo serão grafados em vermelho.</t>
        </r>
      </text>
    </comment>
    <comment ref="A125" authorId="2" shapeId="0" xr:uid="{00000000-0006-0000-0500-00006A000000}">
      <text>
        <r>
          <rPr>
            <b/>
            <sz val="8"/>
            <color indexed="81"/>
            <rFont val="Arial"/>
            <family val="2"/>
          </rPr>
          <t>6. Resultados Econômicos</t>
        </r>
        <r>
          <rPr>
            <sz val="8"/>
            <color indexed="81"/>
            <rFont val="Arial"/>
            <family val="2"/>
          </rPr>
          <t xml:space="preserve">
Os nomes da empresas compradoras de leite poderão ser escritos em substituição às denominações empresa I, empresa II e empresa III.</t>
        </r>
      </text>
    </comment>
    <comment ref="A127" authorId="2" shapeId="0" xr:uid="{00000000-0006-0000-0500-00006B000000}">
      <text>
        <r>
          <rPr>
            <b/>
            <sz val="8"/>
            <color indexed="81"/>
            <rFont val="Arial"/>
            <family val="2"/>
          </rPr>
          <t>6.1. Média de preço - empresa I (R$/litro):</t>
        </r>
        <r>
          <rPr>
            <sz val="8"/>
            <color indexed="81"/>
            <rFont val="Arial"/>
            <family val="2"/>
          </rPr>
          <t xml:space="preserve"> valor bruto mensal do leite vendido para a empresa I, dividido pela quantidade de leite vendido para a mesma empresa. Na planilha, esta célula é ocupada por uma fórmula (divisão do item </t>
        </r>
        <r>
          <rPr>
            <b/>
            <sz val="8"/>
            <color indexed="81"/>
            <rFont val="Arial"/>
            <family val="2"/>
          </rPr>
          <t>4.1</t>
        </r>
        <r>
          <rPr>
            <sz val="8"/>
            <color indexed="81"/>
            <rFont val="Arial"/>
            <family val="2"/>
          </rPr>
          <t xml:space="preserve"> pelo item </t>
        </r>
        <r>
          <rPr>
            <b/>
            <sz val="8"/>
            <color indexed="81"/>
            <rFont val="Arial"/>
            <family val="2"/>
          </rPr>
          <t>5.1</t>
        </r>
        <r>
          <rPr>
            <sz val="8"/>
            <color indexed="81"/>
            <rFont val="Arial"/>
            <family val="2"/>
          </rPr>
          <t>), não devendo ser preenchida.</t>
        </r>
      </text>
    </comment>
    <comment ref="A128" authorId="2" shapeId="0" xr:uid="{00000000-0006-0000-0500-00006C000000}">
      <text>
        <r>
          <rPr>
            <b/>
            <sz val="8"/>
            <color indexed="81"/>
            <rFont val="Arial"/>
            <family val="2"/>
          </rPr>
          <t xml:space="preserve">6.2. Média de preço - empresa II (R$/litro): </t>
        </r>
        <r>
          <rPr>
            <sz val="8"/>
            <color indexed="81"/>
            <rFont val="Arial"/>
            <family val="2"/>
          </rPr>
          <t xml:space="preserve">valor bruto mensal do leite vendido para a empresa II, dividido pela quantidade de leite vendido para a mesma empresa. Na planilha, esta célula é ocupada por uma fórmula (divisão do item </t>
        </r>
        <r>
          <rPr>
            <b/>
            <sz val="8"/>
            <color indexed="81"/>
            <rFont val="Arial"/>
            <family val="2"/>
          </rPr>
          <t>4.2</t>
        </r>
        <r>
          <rPr>
            <sz val="8"/>
            <color indexed="81"/>
            <rFont val="Arial"/>
            <family val="2"/>
          </rPr>
          <t xml:space="preserve"> pelo item </t>
        </r>
        <r>
          <rPr>
            <b/>
            <sz val="8"/>
            <color indexed="81"/>
            <rFont val="Arial"/>
            <family val="2"/>
          </rPr>
          <t>5.2</t>
        </r>
        <r>
          <rPr>
            <sz val="8"/>
            <color indexed="81"/>
            <rFont val="Arial"/>
            <family val="2"/>
          </rPr>
          <t>), não devendo ser preenchida.</t>
        </r>
      </text>
    </comment>
    <comment ref="A129" authorId="2" shapeId="0" xr:uid="{00000000-0006-0000-0500-00006D000000}">
      <text>
        <r>
          <rPr>
            <b/>
            <sz val="8"/>
            <color indexed="81"/>
            <rFont val="Arial"/>
            <family val="2"/>
          </rPr>
          <t xml:space="preserve">6.3. Média de preço - empresa III (R$/litro): </t>
        </r>
        <r>
          <rPr>
            <sz val="8"/>
            <color indexed="81"/>
            <rFont val="Arial"/>
            <family val="2"/>
          </rPr>
          <t xml:space="preserve">valor bruto mensal do leite vendido à empresa III, dividido pela quantidade de leite vendido para a mesma empresa. Na planilha, esta célula é ocupada por uma fórmula (divisão do item </t>
        </r>
        <r>
          <rPr>
            <b/>
            <sz val="8"/>
            <color indexed="81"/>
            <rFont val="Arial"/>
            <family val="2"/>
          </rPr>
          <t>4.3</t>
        </r>
        <r>
          <rPr>
            <sz val="8"/>
            <color indexed="81"/>
            <rFont val="Arial"/>
            <family val="2"/>
          </rPr>
          <t xml:space="preserve"> pelo item </t>
        </r>
        <r>
          <rPr>
            <b/>
            <sz val="8"/>
            <color indexed="81"/>
            <rFont val="Arial"/>
            <family val="2"/>
          </rPr>
          <t>5.3</t>
        </r>
        <r>
          <rPr>
            <sz val="8"/>
            <color indexed="81"/>
            <rFont val="Arial"/>
            <family val="2"/>
          </rPr>
          <t>), não devendo ser preenchida.</t>
        </r>
      </text>
    </comment>
    <comment ref="A130" authorId="2" shapeId="0" xr:uid="{00000000-0006-0000-0500-00006E000000}">
      <text>
        <r>
          <rPr>
            <b/>
            <sz val="8"/>
            <color indexed="81"/>
            <rFont val="Arial"/>
            <family val="2"/>
          </rPr>
          <t>6.4. Média geral de preços (R$/litro):</t>
        </r>
        <r>
          <rPr>
            <sz val="8"/>
            <color indexed="81"/>
            <rFont val="Arial"/>
            <family val="2"/>
          </rPr>
          <t xml:space="preserve"> valor bruto mensal do leite resultante do somatório da venda de leite para a empresa I, empresa II e empresa III, dividido pela quantidade mensal de leite resultante do somatório da quantidade de leite vendida para a empresa I, empresa II e empresa III. Esta célula é ocupada por uma fórmula (divisão do item </t>
        </r>
        <r>
          <rPr>
            <b/>
            <sz val="8"/>
            <color indexed="81"/>
            <rFont val="Arial"/>
            <family val="2"/>
          </rPr>
          <t>4.4</t>
        </r>
        <r>
          <rPr>
            <sz val="8"/>
            <color indexed="81"/>
            <rFont val="Arial"/>
            <family val="2"/>
          </rPr>
          <t xml:space="preserve"> pelo item </t>
        </r>
        <r>
          <rPr>
            <b/>
            <sz val="8"/>
            <color indexed="81"/>
            <rFont val="Arial"/>
            <family val="2"/>
          </rPr>
          <t>5.4</t>
        </r>
        <r>
          <rPr>
            <sz val="8"/>
            <color indexed="81"/>
            <rFont val="Arial"/>
            <family val="2"/>
          </rPr>
          <t>), não devendo ser preenchida.</t>
        </r>
      </text>
    </comment>
    <comment ref="A131" authorId="2" shapeId="0" xr:uid="{00000000-0006-0000-0500-00006F000000}">
      <text>
        <r>
          <rPr>
            <b/>
            <sz val="8"/>
            <color indexed="81"/>
            <rFont val="Arial"/>
            <family val="2"/>
          </rPr>
          <t xml:space="preserve">6.5. Fluxo de caixa (R$): </t>
        </r>
        <r>
          <rPr>
            <sz val="8"/>
            <color indexed="81"/>
            <rFont val="Arial"/>
            <family val="2"/>
          </rPr>
          <t xml:space="preserve">resultado operacional entre o que foi obtido com a Receita Total menos o que foi gasto com a Despesa com o Sistema. Esta célula é ocupada por uma fórmula (subtração do item </t>
        </r>
        <r>
          <rPr>
            <b/>
            <sz val="8"/>
            <color indexed="81"/>
            <rFont val="Arial"/>
            <family val="2"/>
          </rPr>
          <t>4.9</t>
        </r>
        <r>
          <rPr>
            <sz val="8"/>
            <color indexed="81"/>
            <rFont val="Arial"/>
            <family val="2"/>
          </rPr>
          <t xml:space="preserve"> pelo item </t>
        </r>
        <r>
          <rPr>
            <b/>
            <sz val="8"/>
            <color indexed="81"/>
            <rFont val="Arial"/>
            <family val="2"/>
          </rPr>
          <t>3</t>
        </r>
        <r>
          <rPr>
            <sz val="8"/>
            <color indexed="81"/>
            <rFont val="Arial"/>
            <family val="2"/>
          </rPr>
          <t>), não devendo ser preenchida.</t>
        </r>
      </text>
    </comment>
    <comment ref="A132" authorId="0" shapeId="0" xr:uid="{00000000-0006-0000-0500-000070000000}">
      <text>
        <r>
          <rPr>
            <b/>
            <sz val="8"/>
            <color indexed="81"/>
            <rFont val="Arial"/>
            <family val="2"/>
          </rPr>
          <t>6.6. Fluxo de caixa por área (R$/ha):</t>
        </r>
        <r>
          <rPr>
            <sz val="8"/>
            <color indexed="81"/>
            <rFont val="Arial"/>
            <family val="2"/>
          </rPr>
          <t xml:space="preserve"> resultado operacional entre o que foi obtido com a Receita Total menos o que foi gasto com a Despesa do Sistema, dividido pela área total utilizada em hectares. Esta célula é ocupada por uma fórmula (subtração do item </t>
        </r>
        <r>
          <rPr>
            <b/>
            <sz val="8"/>
            <color indexed="81"/>
            <rFont val="Arial"/>
            <family val="2"/>
          </rPr>
          <t>4.9</t>
        </r>
        <r>
          <rPr>
            <sz val="8"/>
            <color indexed="81"/>
            <rFont val="Arial"/>
            <family val="2"/>
          </rPr>
          <t xml:space="preserve"> pelo item </t>
        </r>
        <r>
          <rPr>
            <b/>
            <sz val="8"/>
            <color indexed="81"/>
            <rFont val="Arial"/>
            <family val="2"/>
          </rPr>
          <t>3</t>
        </r>
        <r>
          <rPr>
            <sz val="8"/>
            <color indexed="81"/>
            <rFont val="Arial"/>
            <family val="2"/>
          </rPr>
          <t xml:space="preserve">, sendo o resultado dividido pelo item </t>
        </r>
        <r>
          <rPr>
            <b/>
            <sz val="8"/>
            <color indexed="81"/>
            <rFont val="Arial"/>
            <family val="2"/>
          </rPr>
          <t>5.32</t>
        </r>
        <r>
          <rPr>
            <sz val="8"/>
            <color indexed="81"/>
            <rFont val="Arial"/>
            <family val="2"/>
          </rPr>
          <t>), não devendo ser preenchida.</t>
        </r>
      </text>
    </comment>
    <comment ref="A133" authorId="2" shapeId="0" xr:uid="{00000000-0006-0000-0500-000071000000}">
      <text>
        <r>
          <rPr>
            <b/>
            <sz val="8"/>
            <color indexed="81"/>
            <rFont val="Arial"/>
            <family val="2"/>
          </rPr>
          <t>6.7. Renda por vaca por dia (R$/vaca.dia):</t>
        </r>
        <r>
          <rPr>
            <sz val="8"/>
            <color indexed="81"/>
            <rFont val="Arial"/>
            <family val="2"/>
          </rPr>
          <t xml:space="preserve"> receita total dividida pela quantidade de vacas existentes no rebanho mês a mês, sendo o resultado dividido pelo número de dias de cada mês. Esta célula é ocupada por uma fórmula (item </t>
        </r>
        <r>
          <rPr>
            <b/>
            <sz val="8"/>
            <color indexed="81"/>
            <rFont val="Arial"/>
            <family val="2"/>
          </rPr>
          <t>4.9</t>
        </r>
        <r>
          <rPr>
            <sz val="8"/>
            <color indexed="81"/>
            <rFont val="Arial"/>
            <family val="2"/>
          </rPr>
          <t xml:space="preserve"> dividido pela soma dos itens </t>
        </r>
        <r>
          <rPr>
            <b/>
            <sz val="8"/>
            <color indexed="81"/>
            <rFont val="Arial"/>
            <family val="2"/>
          </rPr>
          <t>5.11 e 5.12</t>
        </r>
        <r>
          <rPr>
            <sz val="8"/>
            <color indexed="81"/>
            <rFont val="Arial"/>
            <family val="2"/>
          </rPr>
          <t>, sendo o resultado dividido pelo número de dias de cada mês), não devendo ser preenchida.</t>
        </r>
      </text>
    </comment>
    <comment ref="A134" authorId="2" shapeId="0" xr:uid="{00000000-0006-0000-0500-000072000000}">
      <text>
        <r>
          <rPr>
            <b/>
            <sz val="8"/>
            <color indexed="81"/>
            <rFont val="Arial"/>
            <family val="2"/>
          </rPr>
          <t>6.8. Renda por vaca por ano (R$/vaca.ano):</t>
        </r>
        <r>
          <rPr>
            <sz val="8"/>
            <color indexed="81"/>
            <rFont val="Arial"/>
            <family val="2"/>
          </rPr>
          <t xml:space="preserve"> renda por vaca por dia multiplicada por 365 dias. Esta célula é ocupada por uma fórmula (item </t>
        </r>
        <r>
          <rPr>
            <b/>
            <sz val="8"/>
            <color indexed="81"/>
            <rFont val="Arial"/>
            <family val="2"/>
          </rPr>
          <t>6.7</t>
        </r>
        <r>
          <rPr>
            <sz val="8"/>
            <color indexed="81"/>
            <rFont val="Arial"/>
            <family val="2"/>
          </rPr>
          <t xml:space="preserve"> multiplicado por 365 dias), não devendo ser preenchido.</t>
        </r>
      </text>
    </comment>
    <comment ref="A135" authorId="2" shapeId="0" xr:uid="{00000000-0006-0000-0500-000073000000}">
      <text>
        <r>
          <rPr>
            <b/>
            <sz val="8"/>
            <color indexed="81"/>
            <rFont val="Arial"/>
            <family val="2"/>
          </rPr>
          <t>6.9. Depreciação de instalações (R$):</t>
        </r>
        <r>
          <rPr>
            <sz val="8"/>
            <color indexed="81"/>
            <rFont val="Arial"/>
            <family val="2"/>
          </rPr>
          <t xml:space="preserve"> é o valor de recuperação do capital empregado em instalações existentes na propriedade. No inventário, são atribuídos a cada construção uma vida útil, um valor inicial e um valor final (residual). O valor da depreciação anual das instalações encontrado será dividido por 12 (meses do ano), sendo o resultado lançado automaticamente na planilha, mês a mês. Esta célula será preenchida a partir da realização anual do inventário e preenchimento da pasta </t>
        </r>
        <r>
          <rPr>
            <b/>
            <sz val="8"/>
            <color indexed="81"/>
            <rFont val="Arial"/>
            <family val="2"/>
          </rPr>
          <t>Instalações</t>
        </r>
        <r>
          <rPr>
            <sz val="8"/>
            <color indexed="81"/>
            <rFont val="Arial"/>
            <family val="2"/>
          </rPr>
          <t>.</t>
        </r>
      </text>
    </comment>
    <comment ref="A136" authorId="2" shapeId="0" xr:uid="{00000000-0006-0000-0500-000074000000}">
      <text>
        <r>
          <rPr>
            <b/>
            <sz val="8"/>
            <color indexed="81"/>
            <rFont val="Arial"/>
            <family val="2"/>
          </rPr>
          <t>6.10. Depreciação de máquinas (R$):</t>
        </r>
        <r>
          <rPr>
            <sz val="8"/>
            <color indexed="81"/>
            <rFont val="Arial"/>
            <family val="2"/>
          </rPr>
          <t xml:space="preserve"> é o valor de recuperação do capital empregado em máquinas, equipamentos e implementos agrícolas existentes na propriedade. No inventário, são atribuídos a cada máquina, uma vida útil, um valor inicial e um valor final (residual). O valor da depreciação anual das máquinas encontrado será dividido por 12 (meses do ano), sendo o resultado lançado automaticamente na planilha, mês a mês. Esta célula será preenchida a partir da realização anual do inventário e preenchimento da pasta </t>
        </r>
        <r>
          <rPr>
            <b/>
            <sz val="8"/>
            <color indexed="81"/>
            <rFont val="Arial"/>
            <family val="2"/>
          </rPr>
          <t>Máquinas</t>
        </r>
        <r>
          <rPr>
            <sz val="8"/>
            <color indexed="81"/>
            <rFont val="Arial"/>
            <family val="2"/>
          </rPr>
          <t>.</t>
        </r>
      </text>
    </comment>
    <comment ref="A137" authorId="2" shapeId="0" xr:uid="{00000000-0006-0000-0500-000075000000}">
      <text>
        <r>
          <rPr>
            <b/>
            <sz val="8"/>
            <color indexed="81"/>
            <rFont val="Arial"/>
            <family val="2"/>
          </rPr>
          <t>6.11. Remuneração de capital em animais (R$):</t>
        </r>
        <r>
          <rPr>
            <sz val="8"/>
            <color indexed="81"/>
            <rFont val="Arial"/>
            <family val="2"/>
          </rPr>
          <t xml:space="preserve"> é o valor de oportunidade do capital investido em animais, ou seja, é a remuneração do montante de dinheiro aplicado em animais. Inicialmente deve ser realizado o inventário dos animais existentes na propriedade, discriminando categoria por categoria e atribuindo valor de mercado a cada uma delas. Ao somatório atribui-se uma taxa de juros de 6% ao ano (caderneta de poupança). O valor encontrado é a remuneração do capital investido em animais, que será dividido por 12 meses, sendo o resultado lançado automaticamente na planilha, mês a mês. Esta célula será preenchida automaticamente a partir da realização anual do inventário e preenchimento da pasta </t>
        </r>
        <r>
          <rPr>
            <b/>
            <sz val="8"/>
            <color indexed="81"/>
            <rFont val="Arial"/>
            <family val="2"/>
          </rPr>
          <t>Animais</t>
        </r>
        <r>
          <rPr>
            <sz val="8"/>
            <color indexed="81"/>
            <rFont val="Arial"/>
            <family val="2"/>
          </rPr>
          <t>.</t>
        </r>
      </text>
    </comment>
    <comment ref="A138" authorId="2" shapeId="0" xr:uid="{00000000-0006-0000-0500-000076000000}">
      <text>
        <r>
          <rPr>
            <b/>
            <sz val="8"/>
            <color indexed="81"/>
            <rFont val="Arial"/>
            <family val="2"/>
          </rPr>
          <t>6.12. Remuneração de capital em terra (R$):</t>
        </r>
        <r>
          <rPr>
            <sz val="8"/>
            <color indexed="81"/>
            <rFont val="Arial"/>
            <family val="2"/>
          </rPr>
          <t xml:space="preserve"> é o valor de oportunidade do capital investido em terra, ou seja, é a remuneração do montante de dinheiro aplicado para se ter a propriedade da terra. Inicialmente recomenda-se um levantamento topográfico, de preferência plani-altimétrico com cotas a cada 5 metros, contendo todas as edificações, divisões internas, culturas permanentes, áreas de preservação, cursos e reservatórios d’água. Define-se a área utilizada pela atividade leiteira e é atribuído valor de mercado a terra. À gleba ocupada pela pecuária leiteira, imputa-se uma taxa de juros de 6% ao ano (caderneta de poupança). O valor encontrado é a remuneração do capital investido em terra, que será dividido por 12 meses, sendo o resultado lançado automaticamente na planilha, mês a mês. Esta célula será preenchida automaticamente a partir da realização anual do inventário e preenchimento da pasta </t>
        </r>
        <r>
          <rPr>
            <b/>
            <sz val="8"/>
            <color indexed="81"/>
            <rFont val="Arial"/>
            <family val="2"/>
          </rPr>
          <t>Terra</t>
        </r>
        <r>
          <rPr>
            <sz val="8"/>
            <color indexed="81"/>
            <rFont val="Arial"/>
            <family val="2"/>
          </rPr>
          <t>.</t>
        </r>
      </text>
    </comment>
    <comment ref="A139" authorId="2" shapeId="0" xr:uid="{00000000-0006-0000-0500-000077000000}">
      <text>
        <r>
          <rPr>
            <b/>
            <sz val="8"/>
            <color indexed="81"/>
            <rFont val="Arial"/>
            <family val="2"/>
          </rPr>
          <t>6.13. Avaliação patrimonial (R$):</t>
        </r>
        <r>
          <rPr>
            <sz val="8"/>
            <color indexed="81"/>
            <rFont val="Arial"/>
            <family val="2"/>
          </rPr>
          <t xml:space="preserve"> é a soma dos valores atribuídos ao patrimônio do proprietário no inventário anual de máquinas, equipamentos, implementos agrícolas, instalações, rebanho e área utilizados na atividade leiteira. A este valor inicial do patrimônio atribui-se o índice 100. Esta célula será preenchida automaticamente quando for realizado o inventário anualmente (pasta </t>
        </r>
        <r>
          <rPr>
            <b/>
            <sz val="8"/>
            <color indexed="81"/>
            <rFont val="Arial"/>
            <family val="2"/>
          </rPr>
          <t>Patrimônio</t>
        </r>
        <r>
          <rPr>
            <sz val="8"/>
            <color indexed="81"/>
            <rFont val="Arial"/>
            <family val="2"/>
          </rPr>
          <t>).</t>
        </r>
      </text>
    </comment>
    <comment ref="A140" authorId="2" shapeId="0" xr:uid="{00000000-0006-0000-0500-000078000000}">
      <text>
        <r>
          <rPr>
            <b/>
            <sz val="8"/>
            <color indexed="81"/>
            <rFont val="Arial"/>
            <family val="2"/>
          </rPr>
          <t>6.14. Índice variação patrimonial em relação ao ano anterior:</t>
        </r>
        <r>
          <rPr>
            <sz val="8"/>
            <color indexed="81"/>
            <rFont val="Arial"/>
            <family val="2"/>
          </rPr>
          <t xml:space="preserve"> a partir do segundo ano de atualização do inventário (máquinas, equipamentos, implementos agrícolas, instalações, rebanho e tamanho da área destinada à atividade leiteira), obtêm-se a variação (positiva ou negativa) do patrimônio do proprietário em relação ao ano anterior. A comparação é feita a partir do índice 100. Esta célula será preenchida automaticamente a partir da realização do segundo inventário (pasta </t>
        </r>
        <r>
          <rPr>
            <b/>
            <sz val="8"/>
            <color indexed="81"/>
            <rFont val="Arial"/>
            <family val="2"/>
          </rPr>
          <t>Patrimônio</t>
        </r>
        <r>
          <rPr>
            <sz val="8"/>
            <color indexed="81"/>
            <rFont val="Arial"/>
            <family val="2"/>
          </rPr>
          <t>).</t>
        </r>
      </text>
    </comment>
    <comment ref="A141" authorId="2" shapeId="0" xr:uid="{00000000-0006-0000-0500-000079000000}">
      <text>
        <r>
          <rPr>
            <b/>
            <sz val="8"/>
            <color indexed="81"/>
            <rFont val="Arial"/>
            <family val="2"/>
          </rPr>
          <t>6.15. Índice variação patrimonial em relação ao 1º ano:</t>
        </r>
        <r>
          <rPr>
            <sz val="8"/>
            <color indexed="81"/>
            <rFont val="Arial"/>
            <family val="2"/>
          </rPr>
          <t xml:space="preserve"> a partir das atualizações anuais do inventário (máquinas, equipamentos, implementos agrícolas, instalações, rebanho e tamanho da área destinada à atividade leiteira), obtêm-se a variação (positiva ou negativa) do patrimônio do proprietário em relação ao patrimônio existente no primeiro ano do trabalho. A comparação é feita a partir do índice 100. Esta célula será preenchida automaticamente a partir da realização anual dos inventários  (pasta </t>
        </r>
        <r>
          <rPr>
            <b/>
            <sz val="8"/>
            <color indexed="81"/>
            <rFont val="Arial"/>
            <family val="2"/>
          </rPr>
          <t>Patrimônio</t>
        </r>
        <r>
          <rPr>
            <sz val="8"/>
            <color indexed="81"/>
            <rFont val="Arial"/>
            <family val="2"/>
          </rPr>
          <t>).</t>
        </r>
      </text>
    </comment>
    <comment ref="A142" authorId="2" shapeId="0" xr:uid="{00000000-0006-0000-0500-00007A000000}">
      <text>
        <r>
          <rPr>
            <b/>
            <sz val="8"/>
            <color indexed="81"/>
            <rFont val="Arial"/>
            <family val="2"/>
          </rPr>
          <t>6.16. Despesas com o custeio/Receita total (%):</t>
        </r>
        <r>
          <rPr>
            <sz val="8"/>
            <color indexed="81"/>
            <rFont val="Arial"/>
            <family val="2"/>
          </rPr>
          <t xml:space="preserve"> é a divisão das despesas de custeio pela receita total, para se obter o grau de comprometimento da receita para pagar as despesas operacionais (com custeio). Esta célula é ocupada por uma fórmula (item </t>
        </r>
        <r>
          <rPr>
            <b/>
            <sz val="8"/>
            <color indexed="81"/>
            <rFont val="Arial"/>
            <family val="2"/>
          </rPr>
          <t>1.37</t>
        </r>
        <r>
          <rPr>
            <sz val="8"/>
            <color indexed="81"/>
            <rFont val="Arial"/>
            <family val="2"/>
          </rPr>
          <t xml:space="preserve"> dividido pelo item </t>
        </r>
        <r>
          <rPr>
            <b/>
            <sz val="8"/>
            <color indexed="81"/>
            <rFont val="Arial"/>
            <family val="2"/>
          </rPr>
          <t>4.9</t>
        </r>
        <r>
          <rPr>
            <sz val="8"/>
            <color indexed="81"/>
            <rFont val="Arial"/>
            <family val="2"/>
          </rPr>
          <t xml:space="preserve"> multiplicando o resultado por 100), não devendo ser preenchida.</t>
        </r>
      </text>
    </comment>
    <comment ref="A143" authorId="0" shapeId="0" xr:uid="{00000000-0006-0000-0500-00007B000000}">
      <text>
        <r>
          <rPr>
            <b/>
            <sz val="8"/>
            <color indexed="81"/>
            <rFont val="Arial"/>
            <family val="2"/>
          </rPr>
          <t>6.17. Despesas com o sistema/Receita total (%):</t>
        </r>
        <r>
          <rPr>
            <sz val="8"/>
            <color indexed="81"/>
            <rFont val="Arial"/>
            <family val="2"/>
          </rPr>
          <t xml:space="preserve"> a soma das despesas efetuadas com o custeio e com os investimentos resulta nas despesas com o sistema, que é dividida pela receita total, para se obter o grau de comprometimento da receita para pagar todas as despesas. Esta célula é ocupada por uma fórmula (item </t>
        </r>
        <r>
          <rPr>
            <b/>
            <sz val="8"/>
            <color indexed="81"/>
            <rFont val="Arial"/>
            <family val="2"/>
          </rPr>
          <t>3</t>
        </r>
        <r>
          <rPr>
            <sz val="8"/>
            <color indexed="81"/>
            <rFont val="Arial"/>
            <family val="2"/>
          </rPr>
          <t xml:space="preserve"> dividido pelo item </t>
        </r>
        <r>
          <rPr>
            <b/>
            <sz val="8"/>
            <color indexed="81"/>
            <rFont val="Arial"/>
            <family val="2"/>
          </rPr>
          <t>4.9</t>
        </r>
        <r>
          <rPr>
            <sz val="8"/>
            <color indexed="81"/>
            <rFont val="Arial"/>
            <family val="2"/>
          </rPr>
          <t xml:space="preserve"> multiplicando o resultado por 100), não devendo ser preenchida.</t>
        </r>
      </text>
    </comment>
    <comment ref="A144" authorId="2" shapeId="0" xr:uid="{00000000-0006-0000-0500-00007C000000}">
      <text>
        <r>
          <rPr>
            <b/>
            <sz val="8"/>
            <color indexed="81"/>
            <rFont val="Arial"/>
            <family val="2"/>
          </rPr>
          <t xml:space="preserve">6.18. Reais investidos/Litro de leite produzido (R$/litro.dia): </t>
        </r>
        <r>
          <rPr>
            <sz val="8"/>
            <color indexed="81"/>
            <rFont val="Arial"/>
            <family val="2"/>
          </rPr>
          <t xml:space="preserve">é o montante de reais investidos em patrimônio dividido pela produção diária média de leite. Esta célula é ocupada por uma fórmula (item </t>
        </r>
        <r>
          <rPr>
            <b/>
            <sz val="8"/>
            <color indexed="81"/>
            <rFont val="Arial"/>
            <family val="2"/>
          </rPr>
          <t>6.13</t>
        </r>
        <r>
          <rPr>
            <sz val="8"/>
            <color indexed="81"/>
            <rFont val="Arial"/>
            <family val="2"/>
          </rPr>
          <t xml:space="preserve"> dividido pelo item </t>
        </r>
        <r>
          <rPr>
            <b/>
            <sz val="8"/>
            <color indexed="81"/>
            <rFont val="Arial"/>
            <family val="2"/>
          </rPr>
          <t>5.9</t>
        </r>
        <r>
          <rPr>
            <sz val="8"/>
            <color indexed="81"/>
            <rFont val="Arial"/>
            <family val="2"/>
          </rPr>
          <t>), não devendo ser preenchida.</t>
        </r>
      </text>
    </comment>
    <comment ref="A145" authorId="2" shapeId="0" xr:uid="{00000000-0006-0000-0500-00007D000000}">
      <text>
        <r>
          <rPr>
            <b/>
            <sz val="8"/>
            <color indexed="81"/>
            <rFont val="Arial"/>
            <family val="2"/>
          </rPr>
          <t xml:space="preserve">6.19. Reais Investidos/Vaca do Rebanho (R$/vaca): </t>
        </r>
        <r>
          <rPr>
            <sz val="8"/>
            <color indexed="81"/>
            <rFont val="Arial"/>
            <family val="2"/>
          </rPr>
          <t xml:space="preserve">é a quantidade de reais investidos (patrimônio) pela quantidade de vacas existentes no rebanho. Esta célula é ocupada por uma fórmula (item </t>
        </r>
        <r>
          <rPr>
            <b/>
            <sz val="8"/>
            <color indexed="81"/>
            <rFont val="Arial"/>
            <family val="2"/>
          </rPr>
          <t>6.13</t>
        </r>
        <r>
          <rPr>
            <sz val="8"/>
            <color indexed="81"/>
            <rFont val="Arial"/>
            <family val="2"/>
          </rPr>
          <t xml:space="preserve"> dividido pela soma dos itens </t>
        </r>
        <r>
          <rPr>
            <b/>
            <sz val="8"/>
            <color indexed="81"/>
            <rFont val="Arial"/>
            <family val="2"/>
          </rPr>
          <t>5.11 e 5.12</t>
        </r>
        <r>
          <rPr>
            <sz val="8"/>
            <color indexed="81"/>
            <rFont val="Arial"/>
            <family val="2"/>
          </rPr>
          <t>), não devendo ser preenchida.</t>
        </r>
      </text>
    </comment>
    <comment ref="A151" authorId="2" shapeId="0" xr:uid="{00000000-0006-0000-0500-00007E000000}">
      <text>
        <r>
          <rPr>
            <b/>
            <sz val="8"/>
            <color indexed="81"/>
            <rFont val="Arial"/>
            <family val="2"/>
          </rPr>
          <t>7.1. Custo operacional efetivo (COE) (R$/litro):</t>
        </r>
        <r>
          <rPr>
            <sz val="8"/>
            <color indexed="81"/>
            <rFont val="Arial"/>
            <family val="2"/>
          </rPr>
          <t xml:space="preserve"> custo obtido pela divisão das despesas com o custeio pela quantidade total de </t>
        </r>
        <r>
          <rPr>
            <b/>
            <sz val="8"/>
            <color indexed="81"/>
            <rFont val="Arial"/>
            <family val="2"/>
          </rPr>
          <t>leite produzido</t>
        </r>
        <r>
          <rPr>
            <sz val="8"/>
            <color indexed="81"/>
            <rFont val="Arial"/>
            <family val="2"/>
          </rPr>
          <t xml:space="preserve">. Esta célula é ocupada por uma fórmula (item </t>
        </r>
        <r>
          <rPr>
            <b/>
            <sz val="8"/>
            <color indexed="81"/>
            <rFont val="Arial"/>
            <family val="2"/>
          </rPr>
          <t>1.37</t>
        </r>
        <r>
          <rPr>
            <sz val="8"/>
            <color indexed="81"/>
            <rFont val="Arial"/>
            <family val="2"/>
          </rPr>
          <t xml:space="preserve"> dividido pelo item </t>
        </r>
        <r>
          <rPr>
            <b/>
            <sz val="8"/>
            <color indexed="81"/>
            <rFont val="Arial"/>
            <family val="2"/>
          </rPr>
          <t>5.8</t>
        </r>
        <r>
          <rPr>
            <sz val="8"/>
            <color indexed="81"/>
            <rFont val="Arial"/>
            <family val="2"/>
          </rPr>
          <t>), não devendo ser preenchida.</t>
        </r>
      </text>
    </comment>
    <comment ref="A152" authorId="1" shapeId="0" xr:uid="{00000000-0006-0000-0500-00007F000000}">
      <text>
        <r>
          <rPr>
            <b/>
            <sz val="8"/>
            <color indexed="81"/>
            <rFont val="Arial"/>
            <family val="2"/>
          </rPr>
          <t>7.2. COE - leite vendido (R$/litro):</t>
        </r>
        <r>
          <rPr>
            <sz val="8"/>
            <color indexed="81"/>
            <rFont val="Arial"/>
            <family val="2"/>
          </rPr>
          <t xml:space="preserve"> custo operacional efetivo obtido pela divisão das despesas com o custeio pela quantidade total de </t>
        </r>
        <r>
          <rPr>
            <b/>
            <sz val="8"/>
            <color indexed="81"/>
            <rFont val="Arial"/>
            <family val="2"/>
          </rPr>
          <t>leite vendido</t>
        </r>
        <r>
          <rPr>
            <sz val="8"/>
            <color indexed="81"/>
            <rFont val="Arial"/>
            <family val="2"/>
          </rPr>
          <t xml:space="preserve">. Esta célula é ocupada por uma fórmula (item </t>
        </r>
        <r>
          <rPr>
            <b/>
            <sz val="8"/>
            <color indexed="81"/>
            <rFont val="Arial"/>
            <family val="2"/>
          </rPr>
          <t>1.37</t>
        </r>
        <r>
          <rPr>
            <sz val="8"/>
            <color indexed="81"/>
            <rFont val="Arial"/>
            <family val="2"/>
          </rPr>
          <t xml:space="preserve"> dividido pelo item </t>
        </r>
        <r>
          <rPr>
            <b/>
            <sz val="8"/>
            <color indexed="81"/>
            <rFont val="Arial"/>
            <family val="2"/>
          </rPr>
          <t>5.4</t>
        </r>
        <r>
          <rPr>
            <sz val="8"/>
            <color indexed="81"/>
            <rFont val="Arial"/>
            <family val="2"/>
          </rPr>
          <t>), não devendo ser preenchida.</t>
        </r>
      </text>
    </comment>
    <comment ref="A153" authorId="2" shapeId="0" xr:uid="{00000000-0006-0000-0500-000080000000}">
      <text>
        <r>
          <rPr>
            <b/>
            <sz val="8"/>
            <color indexed="81"/>
            <rFont val="Arial"/>
            <family val="2"/>
          </rPr>
          <t>7.3. COE com equivalente-leite (EQ-L) (R$/litro):</t>
        </r>
        <r>
          <rPr>
            <sz val="8"/>
            <color indexed="81"/>
            <rFont val="Arial"/>
            <family val="2"/>
          </rPr>
          <t xml:space="preserve"> custo obtido pela divisão das despesas com o custeio pela soma da quantidade total de </t>
        </r>
        <r>
          <rPr>
            <b/>
            <sz val="8"/>
            <color indexed="81"/>
            <rFont val="Arial"/>
            <family val="2"/>
          </rPr>
          <t>leite produzido mais o equivalente-leite</t>
        </r>
        <r>
          <rPr>
            <sz val="8"/>
            <color indexed="81"/>
            <rFont val="Arial"/>
            <family val="2"/>
          </rPr>
          <t xml:space="preserve">. Esta célula é ocupada por uma fórmula (item </t>
        </r>
        <r>
          <rPr>
            <b/>
            <sz val="8"/>
            <color indexed="81"/>
            <rFont val="Arial"/>
            <family val="2"/>
          </rPr>
          <t>1.37</t>
        </r>
        <r>
          <rPr>
            <sz val="8"/>
            <color indexed="81"/>
            <rFont val="Arial"/>
            <family val="2"/>
          </rPr>
          <t xml:space="preserve"> dividido pela soma dos itens </t>
        </r>
        <r>
          <rPr>
            <b/>
            <sz val="8"/>
            <color indexed="81"/>
            <rFont val="Arial"/>
            <family val="2"/>
          </rPr>
          <t>5.8</t>
        </r>
        <r>
          <rPr>
            <sz val="8"/>
            <color indexed="81"/>
            <rFont val="Arial"/>
            <family val="2"/>
          </rPr>
          <t xml:space="preserve"> e </t>
        </r>
        <r>
          <rPr>
            <b/>
            <sz val="8"/>
            <color indexed="81"/>
            <rFont val="Arial"/>
            <family val="2"/>
          </rPr>
          <t>5.25</t>
        </r>
        <r>
          <rPr>
            <sz val="8"/>
            <color indexed="81"/>
            <rFont val="Arial"/>
            <family val="2"/>
          </rPr>
          <t>), não devendo ser preenchida.</t>
        </r>
      </text>
    </comment>
    <comment ref="A154" authorId="1" shapeId="0" xr:uid="{00000000-0006-0000-0500-000081000000}">
      <text>
        <r>
          <rPr>
            <b/>
            <sz val="8"/>
            <color indexed="81"/>
            <rFont val="Arial"/>
            <family val="2"/>
          </rPr>
          <t>7.4. COE com equivalente-leite - leite vendido (R$/litro):</t>
        </r>
        <r>
          <rPr>
            <sz val="8"/>
            <color indexed="81"/>
            <rFont val="Arial"/>
            <family val="2"/>
          </rPr>
          <t xml:space="preserve"> custo operacional efetivo obtido pela divisão das despesas com o custeio, pela soma da quantidade total de </t>
        </r>
        <r>
          <rPr>
            <b/>
            <sz val="8"/>
            <color indexed="81"/>
            <rFont val="Arial"/>
            <family val="2"/>
          </rPr>
          <t>leite vendido mais o equivalente-leite</t>
        </r>
        <r>
          <rPr>
            <sz val="8"/>
            <color indexed="81"/>
            <rFont val="Arial"/>
            <family val="2"/>
          </rPr>
          <t xml:space="preserve">. Esta célula é ocupada por uma fórmula (item </t>
        </r>
        <r>
          <rPr>
            <b/>
            <sz val="8"/>
            <color indexed="81"/>
            <rFont val="Arial"/>
            <family val="2"/>
          </rPr>
          <t>1.37</t>
        </r>
        <r>
          <rPr>
            <sz val="8"/>
            <color indexed="81"/>
            <rFont val="Arial"/>
            <family val="2"/>
          </rPr>
          <t xml:space="preserve"> dividido pela soma dos itens </t>
        </r>
        <r>
          <rPr>
            <b/>
            <sz val="8"/>
            <color indexed="81"/>
            <rFont val="Arial"/>
            <family val="2"/>
          </rPr>
          <t>5.4</t>
        </r>
        <r>
          <rPr>
            <sz val="8"/>
            <color indexed="81"/>
            <rFont val="Arial"/>
            <family val="2"/>
          </rPr>
          <t xml:space="preserve"> e </t>
        </r>
        <r>
          <rPr>
            <b/>
            <sz val="8"/>
            <color indexed="81"/>
            <rFont val="Arial"/>
            <family val="2"/>
          </rPr>
          <t>5.25</t>
        </r>
        <r>
          <rPr>
            <sz val="8"/>
            <color indexed="81"/>
            <rFont val="Arial"/>
            <family val="2"/>
          </rPr>
          <t>), não devendo ser preenchida.</t>
        </r>
      </text>
    </comment>
    <comment ref="A155" authorId="2" shapeId="0" xr:uid="{00000000-0006-0000-0500-000082000000}">
      <text>
        <r>
          <rPr>
            <b/>
            <sz val="8"/>
            <color indexed="81"/>
            <rFont val="Arial"/>
            <family val="2"/>
          </rPr>
          <t>7.5. Despesas com o custeio por vaca em reais (R$/vaca):</t>
        </r>
        <r>
          <rPr>
            <sz val="8"/>
            <color indexed="81"/>
            <rFont val="Arial"/>
            <family val="2"/>
          </rPr>
          <t xml:space="preserve"> indica o quanto de dinheiro com o custeio foi gasto por vaca do rebanho. É obtido pela divisão das despesas com o custeio pela quantidade de vacas existentes no rebanho. Esta célula é ocupada por uma fórmula (item </t>
        </r>
        <r>
          <rPr>
            <b/>
            <sz val="8"/>
            <color indexed="81"/>
            <rFont val="Arial"/>
            <family val="2"/>
          </rPr>
          <t>1.37</t>
        </r>
        <r>
          <rPr>
            <sz val="8"/>
            <color indexed="81"/>
            <rFont val="Arial"/>
            <family val="2"/>
          </rPr>
          <t xml:space="preserve"> dividida pela soma dos itens </t>
        </r>
        <r>
          <rPr>
            <b/>
            <sz val="8"/>
            <color indexed="81"/>
            <rFont val="Arial"/>
            <family val="2"/>
          </rPr>
          <t>5.11</t>
        </r>
        <r>
          <rPr>
            <sz val="8"/>
            <color indexed="81"/>
            <rFont val="Arial"/>
            <family val="2"/>
          </rPr>
          <t xml:space="preserve"> e </t>
        </r>
        <r>
          <rPr>
            <b/>
            <sz val="8"/>
            <color indexed="81"/>
            <rFont val="Arial"/>
            <family val="2"/>
          </rPr>
          <t>5.12</t>
        </r>
        <r>
          <rPr>
            <sz val="8"/>
            <color indexed="81"/>
            <rFont val="Arial"/>
            <family val="2"/>
          </rPr>
          <t>), não devendo ser preenchida.</t>
        </r>
      </text>
    </comment>
    <comment ref="A156" authorId="2" shapeId="0" xr:uid="{00000000-0006-0000-0500-000083000000}">
      <text>
        <r>
          <rPr>
            <b/>
            <sz val="8"/>
            <color indexed="81"/>
            <rFont val="Arial"/>
            <family val="2"/>
          </rPr>
          <t>7.6. Despesas com o custeio por vaca em litros de leite (l/vaca):</t>
        </r>
        <r>
          <rPr>
            <sz val="8"/>
            <color indexed="81"/>
            <rFont val="Arial"/>
            <family val="2"/>
          </rPr>
          <t xml:space="preserve"> indica o quanto de dinheiro com o custeio foi gasto por vaca do rebanho expresso em litros de leite. É obtido pela divisão das despesas com o custeio por vaca, pela média geral de preços. Esta célula é ocupada por uma fórmula (item </t>
        </r>
        <r>
          <rPr>
            <b/>
            <sz val="8"/>
            <color indexed="81"/>
            <rFont val="Arial"/>
            <family val="2"/>
          </rPr>
          <t>7.5</t>
        </r>
        <r>
          <rPr>
            <sz val="8"/>
            <color indexed="81"/>
            <rFont val="Arial"/>
            <family val="2"/>
          </rPr>
          <t xml:space="preserve"> dividido pelo item </t>
        </r>
        <r>
          <rPr>
            <b/>
            <sz val="8"/>
            <color indexed="81"/>
            <rFont val="Arial"/>
            <family val="2"/>
          </rPr>
          <t>6.4</t>
        </r>
        <r>
          <rPr>
            <sz val="8"/>
            <color indexed="81"/>
            <rFont val="Arial"/>
            <family val="2"/>
          </rPr>
          <t>), não devendo ser preenchida.</t>
        </r>
      </text>
    </comment>
    <comment ref="A157" authorId="0" shapeId="0" xr:uid="{00000000-0006-0000-0500-000084000000}">
      <text>
        <r>
          <rPr>
            <b/>
            <sz val="8"/>
            <color indexed="81"/>
            <rFont val="Arial"/>
            <family val="2"/>
          </rPr>
          <t>7.7. Custo do sistema (R$/litro):</t>
        </r>
        <r>
          <rPr>
            <sz val="8"/>
            <color indexed="81"/>
            <rFont val="Arial"/>
            <family val="2"/>
          </rPr>
          <t xml:space="preserve"> custo obtido pela divisão das despesas com o sistema (custeio + investimentos), pela quantidade total de </t>
        </r>
        <r>
          <rPr>
            <b/>
            <sz val="8"/>
            <color indexed="81"/>
            <rFont val="Arial"/>
            <family val="2"/>
          </rPr>
          <t>leite produzido</t>
        </r>
        <r>
          <rPr>
            <sz val="8"/>
            <color indexed="81"/>
            <rFont val="Arial"/>
            <family val="2"/>
          </rPr>
          <t xml:space="preserve">. Esta célula é ocupada por uma fórmula (item </t>
        </r>
        <r>
          <rPr>
            <b/>
            <sz val="8"/>
            <color indexed="81"/>
            <rFont val="Arial"/>
            <family val="2"/>
          </rPr>
          <t>3</t>
        </r>
        <r>
          <rPr>
            <sz val="8"/>
            <color indexed="81"/>
            <rFont val="Arial"/>
            <family val="2"/>
          </rPr>
          <t xml:space="preserve"> dividido pelo item </t>
        </r>
        <r>
          <rPr>
            <b/>
            <sz val="8"/>
            <color indexed="81"/>
            <rFont val="Arial"/>
            <family val="2"/>
          </rPr>
          <t>5.8</t>
        </r>
        <r>
          <rPr>
            <sz val="8"/>
            <color indexed="81"/>
            <rFont val="Arial"/>
            <family val="2"/>
          </rPr>
          <t>), não devendo ser preenchida.</t>
        </r>
      </text>
    </comment>
    <comment ref="A158" authorId="0" shapeId="0" xr:uid="{00000000-0006-0000-0500-000085000000}">
      <text>
        <r>
          <rPr>
            <b/>
            <sz val="8"/>
            <color indexed="81"/>
            <rFont val="Arial"/>
            <family val="2"/>
          </rPr>
          <t>7.8. Custo do sistema com EQ-L (R$/litro):</t>
        </r>
        <r>
          <rPr>
            <sz val="8"/>
            <color indexed="81"/>
            <rFont val="Arial"/>
            <family val="2"/>
          </rPr>
          <t xml:space="preserve"> custo obtido pela divisão das despesas com o sistema (custeio + investimentos) pela soma da quantidade total de </t>
        </r>
        <r>
          <rPr>
            <b/>
            <sz val="8"/>
            <color indexed="81"/>
            <rFont val="Arial"/>
            <family val="2"/>
          </rPr>
          <t>leite produzido mais o equivalente-leite</t>
        </r>
        <r>
          <rPr>
            <sz val="8"/>
            <color indexed="81"/>
            <rFont val="Arial"/>
            <family val="2"/>
          </rPr>
          <t xml:space="preserve">. Esta célula é ocupada por uma fórmula (item </t>
        </r>
        <r>
          <rPr>
            <b/>
            <sz val="8"/>
            <color indexed="81"/>
            <rFont val="Arial"/>
            <family val="2"/>
          </rPr>
          <t>3</t>
        </r>
        <r>
          <rPr>
            <sz val="8"/>
            <color indexed="81"/>
            <rFont val="Arial"/>
            <family val="2"/>
          </rPr>
          <t xml:space="preserve"> dividido pela soma dos itens </t>
        </r>
        <r>
          <rPr>
            <b/>
            <sz val="8"/>
            <color indexed="81"/>
            <rFont val="Arial"/>
            <family val="2"/>
          </rPr>
          <t>5.8</t>
        </r>
        <r>
          <rPr>
            <sz val="8"/>
            <color indexed="81"/>
            <rFont val="Arial"/>
            <family val="2"/>
          </rPr>
          <t xml:space="preserve"> e </t>
        </r>
        <r>
          <rPr>
            <b/>
            <sz val="8"/>
            <color indexed="81"/>
            <rFont val="Arial"/>
            <family val="2"/>
          </rPr>
          <t>5.25</t>
        </r>
        <r>
          <rPr>
            <sz val="8"/>
            <color indexed="81"/>
            <rFont val="Arial"/>
            <family val="2"/>
          </rPr>
          <t>), não devendo ser preenchida.</t>
        </r>
      </text>
    </comment>
    <comment ref="A159" authorId="0" shapeId="0" xr:uid="{00000000-0006-0000-0500-000086000000}">
      <text>
        <r>
          <rPr>
            <b/>
            <sz val="8"/>
            <color indexed="81"/>
            <rFont val="Arial"/>
            <family val="2"/>
          </rPr>
          <t>7.9. Despesas com o sistema por vaca (R$/vaca):</t>
        </r>
        <r>
          <rPr>
            <sz val="8"/>
            <color indexed="81"/>
            <rFont val="Arial"/>
            <family val="2"/>
          </rPr>
          <t xml:space="preserve"> indica o quanto de dinheiro com o sistema (custeio + investimentos) foi gasto por vaca do rebanho. É obtido pela divisão das despesas com o sistema pela quantidade de vacas existentes no rebanho. Esta célula é ocupada por uma fórmula (item </t>
        </r>
        <r>
          <rPr>
            <b/>
            <sz val="8"/>
            <color indexed="81"/>
            <rFont val="Arial"/>
            <family val="2"/>
          </rPr>
          <t>3</t>
        </r>
        <r>
          <rPr>
            <sz val="8"/>
            <color indexed="81"/>
            <rFont val="Arial"/>
            <family val="2"/>
          </rPr>
          <t xml:space="preserve"> dividido pela soma dos itens </t>
        </r>
        <r>
          <rPr>
            <b/>
            <sz val="8"/>
            <color indexed="81"/>
            <rFont val="Arial"/>
            <family val="2"/>
          </rPr>
          <t>5.11</t>
        </r>
        <r>
          <rPr>
            <sz val="8"/>
            <color indexed="81"/>
            <rFont val="Arial"/>
            <family val="2"/>
          </rPr>
          <t xml:space="preserve"> e </t>
        </r>
        <r>
          <rPr>
            <b/>
            <sz val="8"/>
            <color indexed="81"/>
            <rFont val="Arial"/>
            <family val="2"/>
          </rPr>
          <t>5.12</t>
        </r>
        <r>
          <rPr>
            <sz val="8"/>
            <color indexed="81"/>
            <rFont val="Arial"/>
            <family val="2"/>
          </rPr>
          <t>), não devendo ser preenchida.</t>
        </r>
      </text>
    </comment>
    <comment ref="A160" authorId="0" shapeId="0" xr:uid="{00000000-0006-0000-0500-000087000000}">
      <text>
        <r>
          <rPr>
            <b/>
            <sz val="8"/>
            <color indexed="81"/>
            <rFont val="Arial"/>
            <family val="2"/>
          </rPr>
          <t>7.10. Despesas com o sistema por vaca (l/vaca):</t>
        </r>
        <r>
          <rPr>
            <sz val="8"/>
            <color indexed="81"/>
            <rFont val="Arial"/>
            <family val="2"/>
          </rPr>
          <t xml:space="preserve"> indica o quanto de dinheiro com o sistema (custeio + investimentos) foi gasto por vaca do rebanho, expresso em litros de leite. É obtido pela divisão das despesas com o sistema por vaca, pela média geral de preços. Esta célula é ocupada por uma fórmula (item </t>
        </r>
        <r>
          <rPr>
            <b/>
            <sz val="8"/>
            <color indexed="81"/>
            <rFont val="Arial"/>
            <family val="2"/>
          </rPr>
          <t>7.9</t>
        </r>
        <r>
          <rPr>
            <sz val="8"/>
            <color indexed="81"/>
            <rFont val="Arial"/>
            <family val="2"/>
          </rPr>
          <t xml:space="preserve"> dividido pelo item </t>
        </r>
        <r>
          <rPr>
            <b/>
            <sz val="8"/>
            <color indexed="81"/>
            <rFont val="Arial"/>
            <family val="2"/>
          </rPr>
          <t>6.4</t>
        </r>
        <r>
          <rPr>
            <sz val="8"/>
            <color indexed="81"/>
            <rFont val="Arial"/>
            <family val="2"/>
          </rPr>
          <t>), não devendo ser preenchida.</t>
        </r>
      </text>
    </comment>
    <comment ref="A161" authorId="2" shapeId="0" xr:uid="{00000000-0006-0000-0500-000088000000}">
      <text>
        <r>
          <rPr>
            <b/>
            <sz val="8"/>
            <color indexed="81"/>
            <rFont val="Arial"/>
            <family val="2"/>
          </rPr>
          <t>7.11. Custo total (CT) (R$/litro):</t>
        </r>
        <r>
          <rPr>
            <sz val="8"/>
            <color indexed="81"/>
            <rFont val="Arial"/>
            <family val="2"/>
          </rPr>
          <t xml:space="preserve"> custo obtido pela soma das despesas com custeio, depreciações de máquinas e instalações, e remunerações dos capitais investidos em animais e terra, dividindo-se o resultado pela quantidade de </t>
        </r>
        <r>
          <rPr>
            <b/>
            <sz val="8"/>
            <color indexed="81"/>
            <rFont val="Arial"/>
            <family val="2"/>
          </rPr>
          <t>leite produzido</t>
        </r>
        <r>
          <rPr>
            <sz val="8"/>
            <color indexed="81"/>
            <rFont val="Arial"/>
            <family val="2"/>
          </rPr>
          <t xml:space="preserve">. Esta célula é ocupada por uma fórmula (somatório dos itens </t>
        </r>
        <r>
          <rPr>
            <b/>
            <sz val="8"/>
            <color indexed="81"/>
            <rFont val="Arial"/>
            <family val="2"/>
          </rPr>
          <t>1.37</t>
        </r>
        <r>
          <rPr>
            <sz val="8"/>
            <color indexed="81"/>
            <rFont val="Arial"/>
            <family val="2"/>
          </rPr>
          <t xml:space="preserve">, </t>
        </r>
        <r>
          <rPr>
            <b/>
            <sz val="8"/>
            <color indexed="81"/>
            <rFont val="Arial"/>
            <family val="2"/>
          </rPr>
          <t>6.9</t>
        </r>
        <r>
          <rPr>
            <sz val="8"/>
            <color indexed="81"/>
            <rFont val="Arial"/>
            <family val="2"/>
          </rPr>
          <t xml:space="preserve">, </t>
        </r>
        <r>
          <rPr>
            <b/>
            <sz val="8"/>
            <color indexed="81"/>
            <rFont val="Arial"/>
            <family val="2"/>
          </rPr>
          <t>6.10</t>
        </r>
        <r>
          <rPr>
            <sz val="8"/>
            <color indexed="81"/>
            <rFont val="Arial"/>
            <family val="2"/>
          </rPr>
          <t xml:space="preserve">, </t>
        </r>
        <r>
          <rPr>
            <b/>
            <sz val="8"/>
            <color indexed="81"/>
            <rFont val="Arial"/>
            <family val="2"/>
          </rPr>
          <t>6.11</t>
        </r>
        <r>
          <rPr>
            <sz val="8"/>
            <color indexed="81"/>
            <rFont val="Arial"/>
            <family val="2"/>
          </rPr>
          <t xml:space="preserve"> e </t>
        </r>
        <r>
          <rPr>
            <b/>
            <sz val="8"/>
            <color indexed="81"/>
            <rFont val="Arial"/>
            <family val="2"/>
          </rPr>
          <t>6.12</t>
        </r>
        <r>
          <rPr>
            <sz val="8"/>
            <color indexed="81"/>
            <rFont val="Arial"/>
            <family val="2"/>
          </rPr>
          <t xml:space="preserve"> dividido pelo item </t>
        </r>
        <r>
          <rPr>
            <b/>
            <sz val="8"/>
            <color indexed="81"/>
            <rFont val="Arial"/>
            <family val="2"/>
          </rPr>
          <t>5.8</t>
        </r>
        <r>
          <rPr>
            <sz val="8"/>
            <color indexed="81"/>
            <rFont val="Arial"/>
            <family val="2"/>
          </rPr>
          <t>), não devendo ser preenchida.</t>
        </r>
      </text>
    </comment>
    <comment ref="A162" authorId="2" shapeId="0" xr:uid="{00000000-0006-0000-0500-000089000000}">
      <text>
        <r>
          <rPr>
            <b/>
            <sz val="8"/>
            <color indexed="81"/>
            <rFont val="Arial"/>
            <family val="2"/>
          </rPr>
          <t>7.12. Custo total com equivalente-leite (R$/litro):</t>
        </r>
        <r>
          <rPr>
            <sz val="8"/>
            <color indexed="81"/>
            <rFont val="Arial"/>
            <family val="2"/>
          </rPr>
          <t xml:space="preserve"> custo obtido pela soma das despesas de custeio, depreciações de máquinas e instalações e remunerações dos capitais investidos em animais e terra, dividindo-se o resultado pela soma da quantidade de </t>
        </r>
        <r>
          <rPr>
            <b/>
            <sz val="8"/>
            <color indexed="81"/>
            <rFont val="Arial"/>
            <family val="2"/>
          </rPr>
          <t>leite produzido mais o equivalente-leite</t>
        </r>
        <r>
          <rPr>
            <sz val="8"/>
            <color indexed="81"/>
            <rFont val="Arial"/>
            <family val="2"/>
          </rPr>
          <t xml:space="preserve">. Esta célula é ocupada por uma fórmula (somatório dos itens </t>
        </r>
        <r>
          <rPr>
            <b/>
            <sz val="8"/>
            <color indexed="81"/>
            <rFont val="Arial"/>
            <family val="2"/>
          </rPr>
          <t>1.37</t>
        </r>
        <r>
          <rPr>
            <sz val="8"/>
            <color indexed="81"/>
            <rFont val="Arial"/>
            <family val="2"/>
          </rPr>
          <t xml:space="preserve">, </t>
        </r>
        <r>
          <rPr>
            <b/>
            <sz val="8"/>
            <color indexed="81"/>
            <rFont val="Arial"/>
            <family val="2"/>
          </rPr>
          <t>6.9</t>
        </r>
        <r>
          <rPr>
            <sz val="8"/>
            <color indexed="81"/>
            <rFont val="Arial"/>
            <family val="2"/>
          </rPr>
          <t xml:space="preserve">, </t>
        </r>
        <r>
          <rPr>
            <b/>
            <sz val="8"/>
            <color indexed="81"/>
            <rFont val="Arial"/>
            <family val="2"/>
          </rPr>
          <t>6.10</t>
        </r>
        <r>
          <rPr>
            <sz val="8"/>
            <color indexed="81"/>
            <rFont val="Arial"/>
            <family val="2"/>
          </rPr>
          <t xml:space="preserve">, </t>
        </r>
        <r>
          <rPr>
            <b/>
            <sz val="8"/>
            <color indexed="81"/>
            <rFont val="Arial"/>
            <family val="2"/>
          </rPr>
          <t>6.11</t>
        </r>
        <r>
          <rPr>
            <sz val="8"/>
            <color indexed="81"/>
            <rFont val="Arial"/>
            <family val="2"/>
          </rPr>
          <t xml:space="preserve"> e </t>
        </r>
        <r>
          <rPr>
            <b/>
            <sz val="8"/>
            <color indexed="81"/>
            <rFont val="Arial"/>
            <family val="2"/>
          </rPr>
          <t>6.12</t>
        </r>
        <r>
          <rPr>
            <sz val="8"/>
            <color indexed="81"/>
            <rFont val="Arial"/>
            <family val="2"/>
          </rPr>
          <t xml:space="preserve">, dividido pelo resultado da soma dos itens </t>
        </r>
        <r>
          <rPr>
            <b/>
            <sz val="8"/>
            <color indexed="81"/>
            <rFont val="Arial"/>
            <family val="2"/>
          </rPr>
          <t>5.8</t>
        </r>
        <r>
          <rPr>
            <sz val="8"/>
            <color indexed="81"/>
            <rFont val="Arial"/>
            <family val="2"/>
          </rPr>
          <t xml:space="preserve"> e </t>
        </r>
        <r>
          <rPr>
            <b/>
            <sz val="8"/>
            <color indexed="81"/>
            <rFont val="Arial"/>
            <family val="2"/>
          </rPr>
          <t>5.25</t>
        </r>
        <r>
          <rPr>
            <sz val="8"/>
            <color indexed="81"/>
            <rFont val="Arial"/>
            <family val="2"/>
          </rPr>
          <t>), não devendo ser preenchida.</t>
        </r>
      </text>
    </comment>
    <comment ref="A163" authorId="0" shapeId="0" xr:uid="{00000000-0006-0000-0500-00008A000000}">
      <text>
        <r>
          <rPr>
            <b/>
            <sz val="8"/>
            <color indexed="81"/>
            <rFont val="Arial"/>
            <family val="2"/>
          </rPr>
          <t>7.13. Margem bruta (R$):</t>
        </r>
        <r>
          <rPr>
            <sz val="8"/>
            <color indexed="81"/>
            <rFont val="Arial"/>
            <family val="2"/>
          </rPr>
          <t xml:space="preserve"> é a receita total menos as despesas efetuadas com o custeio. Esta célula é ocupada por uma fórmula (item </t>
        </r>
        <r>
          <rPr>
            <b/>
            <sz val="8"/>
            <color indexed="81"/>
            <rFont val="Arial"/>
            <family val="2"/>
          </rPr>
          <t>4.9</t>
        </r>
        <r>
          <rPr>
            <sz val="8"/>
            <color indexed="81"/>
            <rFont val="Arial"/>
            <family val="2"/>
          </rPr>
          <t xml:space="preserve"> menos o item </t>
        </r>
        <r>
          <rPr>
            <b/>
            <sz val="8"/>
            <color indexed="81"/>
            <rFont val="Arial"/>
            <family val="2"/>
          </rPr>
          <t>1.37</t>
        </r>
        <r>
          <rPr>
            <sz val="8"/>
            <color indexed="81"/>
            <rFont val="Arial"/>
            <family val="2"/>
          </rPr>
          <t>), não devendo ser preenchida.</t>
        </r>
      </text>
    </comment>
    <comment ref="A164" authorId="2" shapeId="0" xr:uid="{00000000-0006-0000-0500-00008B000000}">
      <text>
        <r>
          <rPr>
            <b/>
            <sz val="8"/>
            <color indexed="81"/>
            <rFont val="Arial"/>
            <family val="2"/>
          </rPr>
          <t>7.14. Margem bruta por área (R$/ha):</t>
        </r>
        <r>
          <rPr>
            <sz val="8"/>
            <color indexed="81"/>
            <rFont val="Arial"/>
            <family val="2"/>
          </rPr>
          <t xml:space="preserve"> é a receita total menos as despesas efetuadas com o custeio, dividindo-se o resultado pela área total ocupada pela atividde leiteira. Esta célula é ocupada por uma fórmula (item </t>
        </r>
        <r>
          <rPr>
            <b/>
            <sz val="8"/>
            <color indexed="81"/>
            <rFont val="Arial"/>
            <family val="2"/>
          </rPr>
          <t>4.9</t>
        </r>
        <r>
          <rPr>
            <sz val="8"/>
            <color indexed="81"/>
            <rFont val="Arial"/>
            <family val="2"/>
          </rPr>
          <t xml:space="preserve"> menos o item </t>
        </r>
        <r>
          <rPr>
            <b/>
            <sz val="8"/>
            <color indexed="81"/>
            <rFont val="Arial"/>
            <family val="2"/>
          </rPr>
          <t>1.37</t>
        </r>
        <r>
          <rPr>
            <sz val="8"/>
            <color indexed="81"/>
            <rFont val="Arial"/>
            <family val="2"/>
          </rPr>
          <t xml:space="preserve">, dividido pelo item </t>
        </r>
        <r>
          <rPr>
            <b/>
            <sz val="8"/>
            <color indexed="81"/>
            <rFont val="Arial"/>
            <family val="2"/>
          </rPr>
          <t>5.32</t>
        </r>
        <r>
          <rPr>
            <sz val="8"/>
            <color indexed="81"/>
            <rFont val="Arial"/>
            <family val="2"/>
          </rPr>
          <t>), não devendo ser preenchida.</t>
        </r>
      </text>
    </comment>
    <comment ref="A165" authorId="1" shapeId="0" xr:uid="{00000000-0006-0000-0500-00008C000000}">
      <text>
        <r>
          <rPr>
            <b/>
            <sz val="8"/>
            <color indexed="81"/>
            <rFont val="Arial"/>
            <family val="2"/>
          </rPr>
          <t>7.15. Margem bruta por vaca (R$/vaca):</t>
        </r>
        <r>
          <rPr>
            <sz val="8"/>
            <color indexed="81"/>
            <rFont val="Arial"/>
            <family val="2"/>
          </rPr>
          <t xml:space="preserve"> é a receita total menos as despesas efetuadas com o custeio, dividindo-se o resultado pela quantidade de vacas no rebanho. Esta célula é ocupada por uma fórmula (item </t>
        </r>
        <r>
          <rPr>
            <b/>
            <sz val="8"/>
            <color indexed="81"/>
            <rFont val="Arial"/>
            <family val="2"/>
          </rPr>
          <t>4.9</t>
        </r>
        <r>
          <rPr>
            <sz val="8"/>
            <color indexed="81"/>
            <rFont val="Arial"/>
            <family val="2"/>
          </rPr>
          <t xml:space="preserve"> menos o item </t>
        </r>
        <r>
          <rPr>
            <b/>
            <sz val="8"/>
            <color indexed="81"/>
            <rFont val="Arial"/>
            <family val="2"/>
          </rPr>
          <t>1.37</t>
        </r>
        <r>
          <rPr>
            <sz val="8"/>
            <color indexed="81"/>
            <rFont val="Arial"/>
            <family val="2"/>
          </rPr>
          <t xml:space="preserve">, dividindo-se o resultado pela soma dos itens </t>
        </r>
        <r>
          <rPr>
            <b/>
            <sz val="8"/>
            <color indexed="81"/>
            <rFont val="Arial"/>
            <family val="2"/>
          </rPr>
          <t>5.11</t>
        </r>
        <r>
          <rPr>
            <sz val="8"/>
            <color indexed="81"/>
            <rFont val="Arial"/>
            <family val="2"/>
          </rPr>
          <t xml:space="preserve"> e </t>
        </r>
        <r>
          <rPr>
            <b/>
            <sz val="8"/>
            <color indexed="81"/>
            <rFont val="Arial"/>
            <family val="2"/>
          </rPr>
          <t>5.12</t>
        </r>
        <r>
          <rPr>
            <sz val="8"/>
            <color indexed="81"/>
            <rFont val="Arial"/>
            <family val="2"/>
          </rPr>
          <t>), não devendo ser preenchida.</t>
        </r>
      </text>
    </comment>
    <comment ref="A166" authorId="2" shapeId="0" xr:uid="{00000000-0006-0000-0500-00008D000000}">
      <text>
        <r>
          <rPr>
            <b/>
            <sz val="8"/>
            <color indexed="81"/>
            <rFont val="Arial"/>
            <family val="2"/>
          </rPr>
          <t>7.16. Lucro (R$):</t>
        </r>
        <r>
          <rPr>
            <sz val="8"/>
            <color indexed="81"/>
            <rFont val="Arial"/>
            <family val="2"/>
          </rPr>
          <t xml:space="preserve"> é o objetivo de todo empreendimento e o resultado de um trabalho sério e correto, cujo valor é obtido retirando-se da receita total a soma das despesas com o custeio, depreciações de máquinas e instalações e remunerações dos capitais investidos em animais e terra. Esta célula é ocupada por uma fórmula (item </t>
        </r>
        <r>
          <rPr>
            <b/>
            <sz val="8"/>
            <color indexed="81"/>
            <rFont val="Arial"/>
            <family val="2"/>
          </rPr>
          <t>4.9</t>
        </r>
        <r>
          <rPr>
            <sz val="8"/>
            <color indexed="81"/>
            <rFont val="Arial"/>
            <family val="2"/>
          </rPr>
          <t xml:space="preserve"> menos os itens </t>
        </r>
        <r>
          <rPr>
            <b/>
            <sz val="8"/>
            <color indexed="81"/>
            <rFont val="Arial"/>
            <family val="2"/>
          </rPr>
          <t>1.37, 6.9, 6.10, 6.11</t>
        </r>
        <r>
          <rPr>
            <sz val="8"/>
            <color indexed="81"/>
            <rFont val="Arial"/>
            <family val="2"/>
          </rPr>
          <t xml:space="preserve"> e </t>
        </r>
        <r>
          <rPr>
            <b/>
            <sz val="8"/>
            <color indexed="81"/>
            <rFont val="Arial"/>
            <family val="2"/>
          </rPr>
          <t>6.12</t>
        </r>
        <r>
          <rPr>
            <sz val="8"/>
            <color indexed="81"/>
            <rFont val="Arial"/>
            <family val="2"/>
          </rPr>
          <t>), não devendo ser preenchida.</t>
        </r>
      </text>
    </comment>
    <comment ref="A167" authorId="2" shapeId="0" xr:uid="{00000000-0006-0000-0500-00008E000000}">
      <text>
        <r>
          <rPr>
            <b/>
            <sz val="8"/>
            <color indexed="81"/>
            <rFont val="Arial"/>
            <family val="2"/>
          </rPr>
          <t>7.17. Lucro por área (R$/ha):</t>
        </r>
        <r>
          <rPr>
            <sz val="8"/>
            <color indexed="81"/>
            <rFont val="Arial"/>
            <family val="2"/>
          </rPr>
          <t xml:space="preserve"> é o lucro dividido pela área total utilizada pela atividade leiteira. Esta célula é ocupada por uma fórmula (item </t>
        </r>
        <r>
          <rPr>
            <b/>
            <sz val="8"/>
            <color indexed="81"/>
            <rFont val="Arial"/>
            <family val="2"/>
          </rPr>
          <t>7.16</t>
        </r>
        <r>
          <rPr>
            <sz val="8"/>
            <color indexed="81"/>
            <rFont val="Arial"/>
            <family val="2"/>
          </rPr>
          <t xml:space="preserve"> dividido pelo item </t>
        </r>
        <r>
          <rPr>
            <b/>
            <sz val="8"/>
            <color indexed="81"/>
            <rFont val="Arial"/>
            <family val="2"/>
          </rPr>
          <t>5.32</t>
        </r>
        <r>
          <rPr>
            <sz val="8"/>
            <color indexed="81"/>
            <rFont val="Arial"/>
            <family val="2"/>
          </rPr>
          <t>), não devendo ser preenchida.</t>
        </r>
      </text>
    </comment>
    <comment ref="A168" authorId="2" shapeId="0" xr:uid="{00000000-0006-0000-0500-00008F000000}">
      <text>
        <r>
          <rPr>
            <b/>
            <sz val="8"/>
            <color indexed="81"/>
            <rFont val="Arial"/>
            <family val="2"/>
          </rPr>
          <t>7.18. Lucro por litro (R$/litro):</t>
        </r>
        <r>
          <rPr>
            <sz val="8"/>
            <color indexed="81"/>
            <rFont val="Arial"/>
            <family val="2"/>
          </rPr>
          <t xml:space="preserve"> é o lucro dividido pela quantidade produzida de leite. Esta célula é ocupada por uma fórmula (item </t>
        </r>
        <r>
          <rPr>
            <b/>
            <sz val="8"/>
            <color indexed="81"/>
            <rFont val="Arial"/>
            <family val="2"/>
          </rPr>
          <t>7.16</t>
        </r>
        <r>
          <rPr>
            <sz val="8"/>
            <color indexed="81"/>
            <rFont val="Arial"/>
            <family val="2"/>
          </rPr>
          <t xml:space="preserve"> dividido pelo item </t>
        </r>
        <r>
          <rPr>
            <b/>
            <sz val="8"/>
            <color indexed="81"/>
            <rFont val="Arial"/>
            <family val="2"/>
          </rPr>
          <t>5.8</t>
        </r>
        <r>
          <rPr>
            <sz val="8"/>
            <color indexed="81"/>
            <rFont val="Arial"/>
            <family val="2"/>
          </rPr>
          <t>), não devendo ser preenchida.</t>
        </r>
      </text>
    </comment>
    <comment ref="A169" authorId="2" shapeId="0" xr:uid="{00000000-0006-0000-0500-000090000000}">
      <text>
        <r>
          <rPr>
            <b/>
            <sz val="8"/>
            <color indexed="81"/>
            <rFont val="Arial"/>
            <family val="2"/>
          </rPr>
          <t>7.19. Lucro por vaca por dia (R$/vaca.dia):</t>
        </r>
        <r>
          <rPr>
            <sz val="8"/>
            <color indexed="81"/>
            <rFont val="Arial"/>
            <family val="2"/>
          </rPr>
          <t xml:space="preserve"> é o lucro dividido pela quantidade de vacas existentes no rebanho, dividindo-se pelo número de dias que compõe cada mês. Esta célula é ocupada por uma fórmula (item </t>
        </r>
        <r>
          <rPr>
            <b/>
            <sz val="8"/>
            <color indexed="81"/>
            <rFont val="Arial"/>
            <family val="2"/>
          </rPr>
          <t>7.16</t>
        </r>
        <r>
          <rPr>
            <sz val="8"/>
            <color indexed="81"/>
            <rFont val="Arial"/>
            <family val="2"/>
          </rPr>
          <t xml:space="preserve"> dividido pela soma dos itens </t>
        </r>
        <r>
          <rPr>
            <b/>
            <sz val="8"/>
            <color indexed="81"/>
            <rFont val="Arial"/>
            <family val="2"/>
          </rPr>
          <t>5.11</t>
        </r>
        <r>
          <rPr>
            <sz val="8"/>
            <color indexed="81"/>
            <rFont val="Arial"/>
            <family val="2"/>
          </rPr>
          <t xml:space="preserve"> e </t>
        </r>
        <r>
          <rPr>
            <b/>
            <sz val="8"/>
            <color indexed="81"/>
            <rFont val="Arial"/>
            <family val="2"/>
          </rPr>
          <t>5.12</t>
        </r>
        <r>
          <rPr>
            <sz val="8"/>
            <color indexed="81"/>
            <rFont val="Arial"/>
            <family val="2"/>
          </rPr>
          <t>, sendo o resultado dividido pelo número de dias de cada mês), não devendo ser preenchida.</t>
        </r>
      </text>
    </comment>
    <comment ref="A170" authorId="2" shapeId="0" xr:uid="{00000000-0006-0000-0500-000091000000}">
      <text>
        <r>
          <rPr>
            <b/>
            <sz val="8"/>
            <color indexed="81"/>
            <rFont val="Arial"/>
            <family val="2"/>
          </rPr>
          <t>7.20. Lucro por vaca por dia (litro/vaca.dia):</t>
        </r>
        <r>
          <rPr>
            <sz val="8"/>
            <color indexed="81"/>
            <rFont val="Arial"/>
            <family val="2"/>
          </rPr>
          <t xml:space="preserve"> é o valor resultante da divisão do lucro por vaca por dia, pela média geral de preços. Esta célula é ocupada por uma fórmula (item </t>
        </r>
        <r>
          <rPr>
            <b/>
            <sz val="8"/>
            <color indexed="81"/>
            <rFont val="Arial"/>
            <family val="2"/>
          </rPr>
          <t>7.19</t>
        </r>
        <r>
          <rPr>
            <sz val="8"/>
            <color indexed="81"/>
            <rFont val="Arial"/>
            <family val="2"/>
          </rPr>
          <t xml:space="preserve"> dividido pelo item </t>
        </r>
        <r>
          <rPr>
            <b/>
            <sz val="8"/>
            <color indexed="81"/>
            <rFont val="Arial"/>
            <family val="2"/>
          </rPr>
          <t>6.4</t>
        </r>
        <r>
          <rPr>
            <sz val="8"/>
            <color indexed="81"/>
            <rFont val="Arial"/>
            <family val="2"/>
          </rPr>
          <t>), não devendo ser preenchida.</t>
        </r>
      </text>
    </comment>
    <comment ref="A171" authorId="2" shapeId="0" xr:uid="{00000000-0006-0000-0500-000092000000}">
      <text>
        <r>
          <rPr>
            <b/>
            <sz val="8"/>
            <color indexed="81"/>
            <rFont val="Arial"/>
            <family val="2"/>
          </rPr>
          <t>7.21. Lucro por vaca por ano (R$/vaca.ano):</t>
        </r>
        <r>
          <rPr>
            <sz val="8"/>
            <color indexed="81"/>
            <rFont val="Arial"/>
            <family val="2"/>
          </rPr>
          <t xml:space="preserve"> é o valor resultante da multiplicação do lucro por vaca por dia, por 365 dias. Esta célula é ocupada por uma fórmula (item </t>
        </r>
        <r>
          <rPr>
            <b/>
            <sz val="8"/>
            <color indexed="81"/>
            <rFont val="Arial"/>
            <family val="2"/>
          </rPr>
          <t>7.19</t>
        </r>
        <r>
          <rPr>
            <sz val="8"/>
            <color indexed="81"/>
            <rFont val="Arial"/>
            <family val="2"/>
          </rPr>
          <t xml:space="preserve"> multiplicado por </t>
        </r>
        <r>
          <rPr>
            <b/>
            <sz val="8"/>
            <color indexed="81"/>
            <rFont val="Arial"/>
            <family val="2"/>
          </rPr>
          <t>365</t>
        </r>
        <r>
          <rPr>
            <sz val="8"/>
            <color indexed="81"/>
            <rFont val="Arial"/>
            <family val="2"/>
          </rPr>
          <t xml:space="preserve"> dias), não devendo ser preenchida.</t>
        </r>
      </text>
    </comment>
    <comment ref="A172" authorId="2" shapeId="0" xr:uid="{00000000-0006-0000-0500-000093000000}">
      <text>
        <r>
          <rPr>
            <b/>
            <sz val="8"/>
            <color indexed="81"/>
            <rFont val="Arial"/>
            <family val="2"/>
          </rPr>
          <t>7.22. Lucro por vaca por ano em litros (litros/vaca.ano):</t>
        </r>
        <r>
          <rPr>
            <sz val="8"/>
            <color indexed="81"/>
            <rFont val="Arial"/>
            <family val="2"/>
          </rPr>
          <t xml:space="preserve"> é o valor resultante da multiplicação do lucro por vaca por dia em litros, por 365 dias. Esta célula é ocupada por uma fórmula (item </t>
        </r>
        <r>
          <rPr>
            <b/>
            <sz val="8"/>
            <color indexed="81"/>
            <rFont val="Arial"/>
            <family val="2"/>
          </rPr>
          <t>7.19</t>
        </r>
        <r>
          <rPr>
            <sz val="8"/>
            <color indexed="81"/>
            <rFont val="Arial"/>
            <family val="2"/>
          </rPr>
          <t xml:space="preserve"> multiplicado por </t>
        </r>
        <r>
          <rPr>
            <b/>
            <sz val="8"/>
            <color indexed="81"/>
            <rFont val="Arial"/>
            <family val="2"/>
          </rPr>
          <t>365</t>
        </r>
        <r>
          <rPr>
            <sz val="8"/>
            <color indexed="81"/>
            <rFont val="Arial"/>
            <family val="2"/>
          </rPr>
          <t xml:space="preserve"> dias), não devendo ser preenchida.</t>
        </r>
      </text>
    </comment>
    <comment ref="A173" authorId="2" shapeId="0" xr:uid="{00000000-0006-0000-0500-000094000000}">
      <text>
        <r>
          <rPr>
            <b/>
            <sz val="8"/>
            <color indexed="81"/>
            <rFont val="Arial"/>
            <family val="2"/>
          </rPr>
          <t>7.23. Custo variável/Custo total (%):</t>
        </r>
        <r>
          <rPr>
            <sz val="8"/>
            <color indexed="81"/>
            <rFont val="Arial"/>
            <family val="2"/>
          </rPr>
          <t xml:space="preserve"> é a participação das despesas com o custeio (operacionais ou variáveis) no custo total da atividade leiteira. É obtido dividindo-se as despesas com o custeio pela soma das despesas com o custeio, depreciações de instalações e máquinas e remuneração do capital investido em animais e terra, multiplicando-se o resultado por 100. Esta célula é ocupada por uma fórmula (item </t>
        </r>
        <r>
          <rPr>
            <b/>
            <sz val="8"/>
            <color indexed="81"/>
            <rFont val="Arial"/>
            <family val="2"/>
          </rPr>
          <t>1.37</t>
        </r>
        <r>
          <rPr>
            <sz val="8"/>
            <color indexed="81"/>
            <rFont val="Arial"/>
            <family val="2"/>
          </rPr>
          <t xml:space="preserve"> dividido pela soma dos itens </t>
        </r>
        <r>
          <rPr>
            <b/>
            <sz val="8"/>
            <color indexed="81"/>
            <rFont val="Arial"/>
            <family val="2"/>
          </rPr>
          <t>1.37, 6.9, 6.10, 6.11</t>
        </r>
        <r>
          <rPr>
            <sz val="8"/>
            <color indexed="81"/>
            <rFont val="Arial"/>
            <family val="2"/>
          </rPr>
          <t xml:space="preserve"> e </t>
        </r>
        <r>
          <rPr>
            <b/>
            <sz val="8"/>
            <color indexed="81"/>
            <rFont val="Arial"/>
            <family val="2"/>
          </rPr>
          <t>6.12,</t>
        </r>
        <r>
          <rPr>
            <sz val="8"/>
            <color indexed="81"/>
            <rFont val="Arial"/>
            <family val="2"/>
          </rPr>
          <t xml:space="preserve"> multiplicando o resultado por 100), não devendo ser preenchida.</t>
        </r>
      </text>
    </comment>
    <comment ref="A174" authorId="2" shapeId="0" xr:uid="{00000000-0006-0000-0500-000095000000}">
      <text>
        <r>
          <rPr>
            <b/>
            <sz val="8"/>
            <color indexed="81"/>
            <rFont val="Arial"/>
            <family val="2"/>
          </rPr>
          <t>7.24. Custo fixo/custo total (%):</t>
        </r>
        <r>
          <rPr>
            <sz val="8"/>
            <color indexed="81"/>
            <rFont val="Arial"/>
            <family val="2"/>
          </rPr>
          <t xml:space="preserve"> é a participação das despesas fixas no custo total da atividade leiteira. É obtida dividindo-se a soma das depreciações de instalações e máquinas e remuneração do capital investido em animais e terra, pela soma das despesas com o custeio, depreciações de máquinas e instalações e remuneração do capital investido em animais e terra, multiplicando-se o resultado por 100. Esta célula é ocupada por uma fórmula (soma dos itens </t>
        </r>
        <r>
          <rPr>
            <b/>
            <sz val="8"/>
            <color indexed="81"/>
            <rFont val="Arial"/>
            <family val="2"/>
          </rPr>
          <t>6.9, 6.10, 6.11</t>
        </r>
        <r>
          <rPr>
            <sz val="8"/>
            <color indexed="81"/>
            <rFont val="Arial"/>
            <family val="2"/>
          </rPr>
          <t xml:space="preserve"> e </t>
        </r>
        <r>
          <rPr>
            <b/>
            <sz val="8"/>
            <color indexed="81"/>
            <rFont val="Arial"/>
            <family val="2"/>
          </rPr>
          <t xml:space="preserve">6.12, </t>
        </r>
        <r>
          <rPr>
            <sz val="8"/>
            <color indexed="81"/>
            <rFont val="Arial"/>
            <family val="2"/>
          </rPr>
          <t xml:space="preserve">dividindo-se o produto pela soma dos itens </t>
        </r>
        <r>
          <rPr>
            <b/>
            <sz val="8"/>
            <color indexed="81"/>
            <rFont val="Arial"/>
            <family val="2"/>
          </rPr>
          <t>1.37, 6.9, 6.10, 6.11</t>
        </r>
        <r>
          <rPr>
            <sz val="8"/>
            <color indexed="81"/>
            <rFont val="Arial"/>
            <family val="2"/>
          </rPr>
          <t xml:space="preserve"> e </t>
        </r>
        <r>
          <rPr>
            <b/>
            <sz val="8"/>
            <color indexed="81"/>
            <rFont val="Arial"/>
            <family val="2"/>
          </rPr>
          <t>6.12,</t>
        </r>
        <r>
          <rPr>
            <sz val="8"/>
            <color indexed="81"/>
            <rFont val="Arial"/>
            <family val="2"/>
          </rPr>
          <t xml:space="preserve"> multiplicando o resultado por 100), não devendo ser preenchida.</t>
        </r>
      </text>
    </comment>
    <comment ref="A175" authorId="2" shapeId="0" xr:uid="{00000000-0006-0000-0500-000096000000}">
      <text>
        <r>
          <rPr>
            <b/>
            <sz val="8"/>
            <color indexed="81"/>
            <rFont val="Arial"/>
            <family val="2"/>
          </rPr>
          <t>7.25. Taxa de Retorno do Investimento (%):</t>
        </r>
        <r>
          <rPr>
            <sz val="8"/>
            <color indexed="81"/>
            <rFont val="Arial"/>
            <family val="2"/>
          </rPr>
          <t xml:space="preserve"> também conhecido como Remuneração do Capital Investido, é obtida dividindo-se o lucro pelo capital total investido, multiplicando-se o resultado por 100. Esta célula é ocupada por uma fórmula (item </t>
        </r>
        <r>
          <rPr>
            <b/>
            <sz val="8"/>
            <color indexed="81"/>
            <rFont val="Arial"/>
            <family val="2"/>
          </rPr>
          <t>7.16</t>
        </r>
        <r>
          <rPr>
            <sz val="8"/>
            <color indexed="81"/>
            <rFont val="Arial"/>
            <family val="2"/>
          </rPr>
          <t xml:space="preserve"> dividido pelo item </t>
        </r>
        <r>
          <rPr>
            <b/>
            <sz val="8"/>
            <color indexed="81"/>
            <rFont val="Arial"/>
            <family val="2"/>
          </rPr>
          <t>6.13</t>
        </r>
        <r>
          <rPr>
            <sz val="8"/>
            <color indexed="81"/>
            <rFont val="Arial"/>
            <family val="2"/>
          </rPr>
          <t>, multiplicando o resultado por 100), não devendo ser preenchida.</t>
        </r>
      </text>
    </comment>
    <comment ref="A181" authorId="2" shapeId="0" xr:uid="{00000000-0006-0000-0500-000097000000}">
      <text>
        <r>
          <rPr>
            <b/>
            <sz val="8"/>
            <color indexed="81"/>
            <rFont val="Arial"/>
            <family val="2"/>
          </rPr>
          <t>8.1. Remuneração do proprietário (R$):</t>
        </r>
        <r>
          <rPr>
            <sz val="8"/>
            <color indexed="81"/>
            <rFont val="Arial"/>
            <family val="2"/>
          </rPr>
          <t xml:space="preserve"> valor em reais que deve ser atribuído ao trabalho executado pelo proprietário. A remuneração de membros da família que atuem na atividade leiteira e que não tenham remuneração fixa (item </t>
        </r>
        <r>
          <rPr>
            <b/>
            <sz val="8"/>
            <color indexed="81"/>
            <rFont val="Arial"/>
            <family val="2"/>
          </rPr>
          <t>1.4</t>
        </r>
        <r>
          <rPr>
            <sz val="8"/>
            <color indexed="81"/>
            <rFont val="Arial"/>
            <family val="2"/>
          </rPr>
          <t>), deverão ser inclusas neste item.</t>
        </r>
      </text>
    </comment>
    <comment ref="A182" authorId="2" shapeId="0" xr:uid="{00000000-0006-0000-0500-000098000000}">
      <text>
        <r>
          <rPr>
            <b/>
            <sz val="8"/>
            <color indexed="81"/>
            <rFont val="Arial"/>
            <family val="2"/>
          </rPr>
          <t xml:space="preserve">8.2. Custo operacional efetivo (COE) (R$/litro): </t>
        </r>
        <r>
          <rPr>
            <sz val="8"/>
            <color indexed="81"/>
            <rFont val="Arial"/>
            <family val="2"/>
          </rPr>
          <t xml:space="preserve">custo obtido pela soma da remuneração do proprietário mais as despesas com o custeio, dividindo-se o resultado pela quantidade total de </t>
        </r>
        <r>
          <rPr>
            <b/>
            <sz val="8"/>
            <color indexed="81"/>
            <rFont val="Arial"/>
            <family val="2"/>
          </rPr>
          <t>leite produzido</t>
        </r>
        <r>
          <rPr>
            <sz val="8"/>
            <color indexed="81"/>
            <rFont val="Arial"/>
            <family val="2"/>
          </rPr>
          <t xml:space="preserve">. Esta célula é ocupada por uma fórmula (soma dos itens </t>
        </r>
        <r>
          <rPr>
            <b/>
            <sz val="8"/>
            <color indexed="81"/>
            <rFont val="Arial"/>
            <family val="2"/>
          </rPr>
          <t>1.37</t>
        </r>
        <r>
          <rPr>
            <sz val="8"/>
            <color indexed="81"/>
            <rFont val="Arial"/>
            <family val="2"/>
          </rPr>
          <t xml:space="preserve"> e </t>
        </r>
        <r>
          <rPr>
            <b/>
            <sz val="8"/>
            <color indexed="81"/>
            <rFont val="Arial"/>
            <family val="2"/>
          </rPr>
          <t>8.1</t>
        </r>
        <r>
          <rPr>
            <sz val="8"/>
            <color indexed="81"/>
            <rFont val="Arial"/>
            <family val="2"/>
          </rPr>
          <t xml:space="preserve">, dividida pelo item </t>
        </r>
        <r>
          <rPr>
            <b/>
            <sz val="8"/>
            <color indexed="81"/>
            <rFont val="Arial"/>
            <family val="2"/>
          </rPr>
          <t>5.8</t>
        </r>
        <r>
          <rPr>
            <sz val="8"/>
            <color indexed="81"/>
            <rFont val="Arial"/>
            <family val="2"/>
          </rPr>
          <t>), não devendo ser preenchida.</t>
        </r>
      </text>
    </comment>
    <comment ref="A183" authorId="1" shapeId="0" xr:uid="{00000000-0006-0000-0500-000099000000}">
      <text>
        <r>
          <rPr>
            <b/>
            <sz val="8"/>
            <color indexed="81"/>
            <rFont val="Arial"/>
            <family val="2"/>
          </rPr>
          <t xml:space="preserve">8.3. COE - leite vendido (R$/litro): </t>
        </r>
        <r>
          <rPr>
            <sz val="8"/>
            <color indexed="81"/>
            <rFont val="Arial"/>
            <family val="2"/>
          </rPr>
          <t xml:space="preserve">custo obtido pela soma da remuneração do proprietário mais as despesas com o custeio, dividindo-se o resultado pela quantidade total de </t>
        </r>
        <r>
          <rPr>
            <b/>
            <sz val="8"/>
            <color indexed="81"/>
            <rFont val="Arial"/>
            <family val="2"/>
          </rPr>
          <t>leite vendido</t>
        </r>
        <r>
          <rPr>
            <sz val="8"/>
            <color indexed="81"/>
            <rFont val="Arial"/>
            <family val="2"/>
          </rPr>
          <t xml:space="preserve">. Esta célula é ocupada por uma fórmula (soma dos itens </t>
        </r>
        <r>
          <rPr>
            <b/>
            <sz val="8"/>
            <color indexed="81"/>
            <rFont val="Arial"/>
            <family val="2"/>
          </rPr>
          <t>1.37</t>
        </r>
        <r>
          <rPr>
            <sz val="8"/>
            <color indexed="81"/>
            <rFont val="Arial"/>
            <family val="2"/>
          </rPr>
          <t xml:space="preserve"> e </t>
        </r>
        <r>
          <rPr>
            <b/>
            <sz val="8"/>
            <color indexed="81"/>
            <rFont val="Arial"/>
            <family val="2"/>
          </rPr>
          <t>8.1</t>
        </r>
        <r>
          <rPr>
            <sz val="8"/>
            <color indexed="81"/>
            <rFont val="Arial"/>
            <family val="2"/>
          </rPr>
          <t xml:space="preserve">, dividida pelo item </t>
        </r>
        <r>
          <rPr>
            <b/>
            <sz val="8"/>
            <color indexed="81"/>
            <rFont val="Arial"/>
            <family val="2"/>
          </rPr>
          <t>5.4</t>
        </r>
        <r>
          <rPr>
            <sz val="8"/>
            <color indexed="81"/>
            <rFont val="Arial"/>
            <family val="2"/>
          </rPr>
          <t>),não devendo ser preenchida.</t>
        </r>
      </text>
    </comment>
    <comment ref="A184" authorId="2" shapeId="0" xr:uid="{00000000-0006-0000-0500-00009A000000}">
      <text>
        <r>
          <rPr>
            <b/>
            <sz val="8"/>
            <color indexed="81"/>
            <rFont val="Arial"/>
            <family val="2"/>
          </rPr>
          <t>8.4. Custo operacional efetivo com equivalente-leite (EQ-L) (R$/litro):</t>
        </r>
        <r>
          <rPr>
            <sz val="8"/>
            <color indexed="81"/>
            <rFont val="Arial"/>
            <family val="2"/>
          </rPr>
          <t xml:space="preserve"> custo obtido pela soma da remuneração do proprietário mais as despesas com o custeio, dividindo-se o resultado pela soma da quantidade total de </t>
        </r>
        <r>
          <rPr>
            <b/>
            <sz val="8"/>
            <color indexed="81"/>
            <rFont val="Arial"/>
            <family val="2"/>
          </rPr>
          <t>leite vendido mais o equivalente-leite</t>
        </r>
        <r>
          <rPr>
            <sz val="8"/>
            <color indexed="81"/>
            <rFont val="Arial"/>
            <family val="2"/>
          </rPr>
          <t xml:space="preserve">. Esta célula é ocupada por uma fórmula (soma dos itens </t>
        </r>
        <r>
          <rPr>
            <b/>
            <sz val="8"/>
            <color indexed="81"/>
            <rFont val="Arial"/>
            <family val="2"/>
          </rPr>
          <t>1.37</t>
        </r>
        <r>
          <rPr>
            <sz val="8"/>
            <color indexed="81"/>
            <rFont val="Arial"/>
            <family val="2"/>
          </rPr>
          <t xml:space="preserve"> e </t>
        </r>
        <r>
          <rPr>
            <b/>
            <sz val="8"/>
            <color indexed="81"/>
            <rFont val="Arial"/>
            <family val="2"/>
          </rPr>
          <t>8.1</t>
        </r>
        <r>
          <rPr>
            <sz val="8"/>
            <color indexed="81"/>
            <rFont val="Arial"/>
            <family val="2"/>
          </rPr>
          <t xml:space="preserve">, dividida pela soma dos itens </t>
        </r>
        <r>
          <rPr>
            <b/>
            <sz val="8"/>
            <color indexed="81"/>
            <rFont val="Arial"/>
            <family val="2"/>
          </rPr>
          <t>5.4</t>
        </r>
        <r>
          <rPr>
            <sz val="8"/>
            <color indexed="81"/>
            <rFont val="Arial"/>
            <family val="2"/>
          </rPr>
          <t xml:space="preserve"> e </t>
        </r>
        <r>
          <rPr>
            <b/>
            <sz val="8"/>
            <color indexed="81"/>
            <rFont val="Arial"/>
            <family val="2"/>
          </rPr>
          <t>5.25</t>
        </r>
        <r>
          <rPr>
            <sz val="8"/>
            <color indexed="81"/>
            <rFont val="Arial"/>
            <family val="2"/>
          </rPr>
          <t>), não devendo ser preenchida.</t>
        </r>
      </text>
    </comment>
    <comment ref="A185" authorId="1" shapeId="0" xr:uid="{00000000-0006-0000-0500-00009B000000}">
      <text>
        <r>
          <rPr>
            <b/>
            <sz val="8"/>
            <color indexed="81"/>
            <rFont val="Arial"/>
            <family val="2"/>
          </rPr>
          <t xml:space="preserve">8.5. COE com equivalente-leite - leite vendido (R$/litro): </t>
        </r>
        <r>
          <rPr>
            <sz val="8"/>
            <color indexed="81"/>
            <rFont val="Arial"/>
            <family val="2"/>
          </rPr>
          <t xml:space="preserve">custo obtido pela soma da remuneração do proprietário mais as despesas com o custeio, dividindo-se o resultado pela soma da quantidade total de </t>
        </r>
        <r>
          <rPr>
            <b/>
            <sz val="8"/>
            <color indexed="81"/>
            <rFont val="Arial"/>
            <family val="2"/>
          </rPr>
          <t>leite vendido mais o equivalente-leite</t>
        </r>
        <r>
          <rPr>
            <sz val="8"/>
            <color indexed="81"/>
            <rFont val="Arial"/>
            <family val="2"/>
          </rPr>
          <t xml:space="preserve">. Esta célula é ocupada por uma fórmula (soma dos itens </t>
        </r>
        <r>
          <rPr>
            <b/>
            <sz val="8"/>
            <color indexed="81"/>
            <rFont val="Arial"/>
            <family val="2"/>
          </rPr>
          <t>1.37</t>
        </r>
        <r>
          <rPr>
            <sz val="8"/>
            <color indexed="81"/>
            <rFont val="Arial"/>
            <family val="2"/>
          </rPr>
          <t xml:space="preserve"> e </t>
        </r>
        <r>
          <rPr>
            <b/>
            <sz val="8"/>
            <color indexed="81"/>
            <rFont val="Arial"/>
            <family val="2"/>
          </rPr>
          <t>8.1</t>
        </r>
        <r>
          <rPr>
            <sz val="8"/>
            <color indexed="81"/>
            <rFont val="Arial"/>
            <family val="2"/>
          </rPr>
          <t xml:space="preserve">, dividida pela soma dos itens </t>
        </r>
        <r>
          <rPr>
            <b/>
            <sz val="8"/>
            <color indexed="81"/>
            <rFont val="Arial"/>
            <family val="2"/>
          </rPr>
          <t>5.4</t>
        </r>
        <r>
          <rPr>
            <sz val="8"/>
            <color indexed="81"/>
            <rFont val="Arial"/>
            <family val="2"/>
          </rPr>
          <t xml:space="preserve"> e </t>
        </r>
        <r>
          <rPr>
            <b/>
            <sz val="8"/>
            <color indexed="81"/>
            <rFont val="Arial"/>
            <family val="2"/>
          </rPr>
          <t>5.25</t>
        </r>
        <r>
          <rPr>
            <sz val="8"/>
            <color indexed="81"/>
            <rFont val="Arial"/>
            <family val="2"/>
          </rPr>
          <t>), não devendo ser preenchida.</t>
        </r>
      </text>
    </comment>
    <comment ref="A186" authorId="2" shapeId="0" xr:uid="{00000000-0006-0000-0500-00009C000000}">
      <text>
        <r>
          <rPr>
            <b/>
            <sz val="8"/>
            <color indexed="81"/>
            <rFont val="Arial"/>
            <family val="2"/>
          </rPr>
          <t>8.6. Despesas com o custeio por vaca em reais (R$/vaca):</t>
        </r>
        <r>
          <rPr>
            <sz val="8"/>
            <color indexed="81"/>
            <rFont val="Arial"/>
            <family val="2"/>
          </rPr>
          <t xml:space="preserve"> indica o quanto de dinheiro gasto com o custeio somado à remuneração do proprietário foi gasto por vaca do rebanho. É obtido pela soma das despesas com o custeio mais a remuneração do proprietário, dividindo-se o resultado pela quantidade de vacas existentes no rebanho. Esta célula é ocupada por uma fórmula (soma dos itens </t>
        </r>
        <r>
          <rPr>
            <b/>
            <sz val="8"/>
            <color indexed="81"/>
            <rFont val="Arial"/>
            <family val="2"/>
          </rPr>
          <t>1.37</t>
        </r>
        <r>
          <rPr>
            <sz val="8"/>
            <color indexed="81"/>
            <rFont val="Arial"/>
            <family val="2"/>
          </rPr>
          <t xml:space="preserve"> e </t>
        </r>
        <r>
          <rPr>
            <b/>
            <sz val="8"/>
            <color indexed="81"/>
            <rFont val="Arial"/>
            <family val="2"/>
          </rPr>
          <t>8.1</t>
        </r>
        <r>
          <rPr>
            <sz val="8"/>
            <color indexed="81"/>
            <rFont val="Arial"/>
            <family val="2"/>
          </rPr>
          <t xml:space="preserve">, dividida pela soma dos itens </t>
        </r>
        <r>
          <rPr>
            <b/>
            <sz val="8"/>
            <color indexed="81"/>
            <rFont val="Arial"/>
            <family val="2"/>
          </rPr>
          <t>5.11</t>
        </r>
        <r>
          <rPr>
            <sz val="8"/>
            <color indexed="81"/>
            <rFont val="Arial"/>
            <family val="2"/>
          </rPr>
          <t xml:space="preserve"> e </t>
        </r>
        <r>
          <rPr>
            <b/>
            <sz val="8"/>
            <color indexed="81"/>
            <rFont val="Arial"/>
            <family val="2"/>
          </rPr>
          <t>5.12</t>
        </r>
        <r>
          <rPr>
            <sz val="8"/>
            <color indexed="81"/>
            <rFont val="Arial"/>
            <family val="2"/>
          </rPr>
          <t>), não devendo ser preenchida.</t>
        </r>
      </text>
    </comment>
    <comment ref="A187" authorId="2" shapeId="0" xr:uid="{00000000-0006-0000-0500-00009D000000}">
      <text>
        <r>
          <rPr>
            <b/>
            <sz val="8"/>
            <color indexed="81"/>
            <rFont val="Arial"/>
            <family val="2"/>
          </rPr>
          <t>8.7. Despesas com o custeio por vaca em litros de leite (litros/vaca):</t>
        </r>
        <r>
          <rPr>
            <sz val="8"/>
            <color indexed="81"/>
            <rFont val="Arial"/>
            <family val="2"/>
          </rPr>
          <t xml:space="preserve"> indica o quanto de dinheiro com o custeio somado à remuneração do proprietário foi gasto por vaca do rebanho expresso em litros de leite. É obtido pela soma das despesas com o custeio mais a remuneração do proprietário, dividindo-se o resultado pela quantidade de vacas existentes no rebanho e, posteriormente, pela média geral de preços. Esta célula é ocupada por uma fórmula (item </t>
        </r>
        <r>
          <rPr>
            <b/>
            <sz val="8"/>
            <color indexed="81"/>
            <rFont val="Arial"/>
            <family val="2"/>
          </rPr>
          <t>8.6</t>
        </r>
        <r>
          <rPr>
            <sz val="8"/>
            <color indexed="81"/>
            <rFont val="Arial"/>
            <family val="2"/>
          </rPr>
          <t xml:space="preserve"> dividido pelo item </t>
        </r>
        <r>
          <rPr>
            <b/>
            <sz val="8"/>
            <color indexed="81"/>
            <rFont val="Arial"/>
            <family val="2"/>
          </rPr>
          <t>6.4</t>
        </r>
        <r>
          <rPr>
            <sz val="8"/>
            <color indexed="81"/>
            <rFont val="Arial"/>
            <family val="2"/>
          </rPr>
          <t>), não devendo ser preenchida.</t>
        </r>
      </text>
    </comment>
    <comment ref="A188" authorId="0" shapeId="0" xr:uid="{00000000-0006-0000-0500-00009E000000}">
      <text>
        <r>
          <rPr>
            <b/>
            <sz val="8"/>
            <color indexed="81"/>
            <rFont val="Arial"/>
            <family val="2"/>
          </rPr>
          <t>8.8. Custo do sistema (R$/litro):</t>
        </r>
        <r>
          <rPr>
            <sz val="8"/>
            <color indexed="81"/>
            <rFont val="Arial"/>
            <family val="2"/>
          </rPr>
          <t xml:space="preserve"> custo obtido pela divisão das despesas com o sistema (custeio + investimentos), somado à remuneração do proprietário, pela quantidade total de </t>
        </r>
        <r>
          <rPr>
            <b/>
            <sz val="8"/>
            <color indexed="81"/>
            <rFont val="Arial"/>
            <family val="2"/>
          </rPr>
          <t>leite produzido</t>
        </r>
        <r>
          <rPr>
            <sz val="8"/>
            <color indexed="81"/>
            <rFont val="Arial"/>
            <family val="2"/>
          </rPr>
          <t xml:space="preserve">. Esta célula é ocupada por uma fórmula (soma dos itens </t>
        </r>
        <r>
          <rPr>
            <b/>
            <sz val="8"/>
            <color indexed="81"/>
            <rFont val="Arial"/>
            <family val="2"/>
          </rPr>
          <t>3</t>
        </r>
        <r>
          <rPr>
            <sz val="8"/>
            <color indexed="81"/>
            <rFont val="Arial"/>
            <family val="2"/>
          </rPr>
          <t xml:space="preserve"> e </t>
        </r>
        <r>
          <rPr>
            <b/>
            <sz val="8"/>
            <color indexed="81"/>
            <rFont val="Arial"/>
            <family val="2"/>
          </rPr>
          <t>8.1</t>
        </r>
        <r>
          <rPr>
            <sz val="8"/>
            <color indexed="81"/>
            <rFont val="Arial"/>
            <family val="2"/>
          </rPr>
          <t xml:space="preserve">, dividida pelo item </t>
        </r>
        <r>
          <rPr>
            <b/>
            <sz val="8"/>
            <color indexed="81"/>
            <rFont val="Arial"/>
            <family val="2"/>
          </rPr>
          <t>5.8</t>
        </r>
        <r>
          <rPr>
            <sz val="8"/>
            <color indexed="81"/>
            <rFont val="Arial"/>
            <family val="2"/>
          </rPr>
          <t>), não devendo ser preenchida.</t>
        </r>
      </text>
    </comment>
    <comment ref="A189" authorId="0" shapeId="0" xr:uid="{00000000-0006-0000-0500-00009F000000}">
      <text>
        <r>
          <rPr>
            <b/>
            <sz val="8"/>
            <color indexed="81"/>
            <rFont val="Arial"/>
            <family val="2"/>
          </rPr>
          <t>8.9. Custo do sistema com EQ-L (R$/litro):</t>
        </r>
        <r>
          <rPr>
            <sz val="8"/>
            <color indexed="81"/>
            <rFont val="Arial"/>
            <family val="2"/>
          </rPr>
          <t xml:space="preserve"> custo obtido pela soma das despesas com o sistema (custeio + investimentos) e remuneração do proprietário, dividindo-se o resultado pela soma da quantidade total de </t>
        </r>
        <r>
          <rPr>
            <b/>
            <sz val="8"/>
            <color indexed="81"/>
            <rFont val="Arial"/>
            <family val="2"/>
          </rPr>
          <t>leite produzido mais o equivalente-leite</t>
        </r>
        <r>
          <rPr>
            <sz val="8"/>
            <color indexed="81"/>
            <rFont val="Arial"/>
            <family val="2"/>
          </rPr>
          <t xml:space="preserve">. Esta célula é ocupada por uma fórmula (soma dos itens </t>
        </r>
        <r>
          <rPr>
            <b/>
            <sz val="8"/>
            <color indexed="81"/>
            <rFont val="Arial"/>
            <family val="2"/>
          </rPr>
          <t>3</t>
        </r>
        <r>
          <rPr>
            <sz val="8"/>
            <color indexed="81"/>
            <rFont val="Arial"/>
            <family val="2"/>
          </rPr>
          <t xml:space="preserve"> e </t>
        </r>
        <r>
          <rPr>
            <b/>
            <sz val="8"/>
            <color indexed="81"/>
            <rFont val="Arial"/>
            <family val="2"/>
          </rPr>
          <t>8.1</t>
        </r>
        <r>
          <rPr>
            <sz val="8"/>
            <color indexed="81"/>
            <rFont val="Arial"/>
            <family val="2"/>
          </rPr>
          <t xml:space="preserve">, dividida pela soma dos itens </t>
        </r>
        <r>
          <rPr>
            <b/>
            <sz val="8"/>
            <color indexed="81"/>
            <rFont val="Arial"/>
            <family val="2"/>
          </rPr>
          <t>5.8</t>
        </r>
        <r>
          <rPr>
            <sz val="8"/>
            <color indexed="81"/>
            <rFont val="Arial"/>
            <family val="2"/>
          </rPr>
          <t xml:space="preserve"> e </t>
        </r>
        <r>
          <rPr>
            <b/>
            <sz val="8"/>
            <color indexed="81"/>
            <rFont val="Arial"/>
            <family val="2"/>
          </rPr>
          <t>5.25</t>
        </r>
        <r>
          <rPr>
            <sz val="8"/>
            <color indexed="81"/>
            <rFont val="Arial"/>
            <family val="2"/>
          </rPr>
          <t>), não devendo ser preenchida.</t>
        </r>
      </text>
    </comment>
    <comment ref="A190" authorId="0" shapeId="0" xr:uid="{00000000-0006-0000-0500-0000A0000000}">
      <text>
        <r>
          <rPr>
            <b/>
            <sz val="8"/>
            <color indexed="81"/>
            <rFont val="Arial"/>
            <family val="2"/>
          </rPr>
          <t xml:space="preserve">8.10. Despesas com o sistema por vaca em reais (R$/vaca): </t>
        </r>
        <r>
          <rPr>
            <sz val="8"/>
            <color indexed="81"/>
            <rFont val="Arial"/>
            <family val="2"/>
          </rPr>
          <t xml:space="preserve">indica o quanto de dinheiro com a remuneração do proprietário e com o sistema (custeio + investimentos) foi gasto por vaca do rebanho. É obtido pela soma das despesas com o sistema mais a remuneração do proprietário, dividindo-se o resultado pela quantidade de vacas existentes no rebanho. Esta célula é ocupada por uma fórmula (soma dos itens </t>
        </r>
        <r>
          <rPr>
            <b/>
            <sz val="8"/>
            <color indexed="81"/>
            <rFont val="Arial"/>
            <family val="2"/>
          </rPr>
          <t>3</t>
        </r>
        <r>
          <rPr>
            <sz val="8"/>
            <color indexed="81"/>
            <rFont val="Arial"/>
            <family val="2"/>
          </rPr>
          <t xml:space="preserve"> e </t>
        </r>
        <r>
          <rPr>
            <b/>
            <sz val="8"/>
            <color indexed="81"/>
            <rFont val="Arial"/>
            <family val="2"/>
          </rPr>
          <t>8.1</t>
        </r>
        <r>
          <rPr>
            <sz val="8"/>
            <color indexed="81"/>
            <rFont val="Arial"/>
            <family val="2"/>
          </rPr>
          <t xml:space="preserve">, dividida pela soma dos itens </t>
        </r>
        <r>
          <rPr>
            <b/>
            <sz val="8"/>
            <color indexed="81"/>
            <rFont val="Arial"/>
            <family val="2"/>
          </rPr>
          <t>5.11</t>
        </r>
        <r>
          <rPr>
            <sz val="8"/>
            <color indexed="81"/>
            <rFont val="Arial"/>
            <family val="2"/>
          </rPr>
          <t xml:space="preserve"> e </t>
        </r>
        <r>
          <rPr>
            <b/>
            <sz val="8"/>
            <color indexed="81"/>
            <rFont val="Arial"/>
            <family val="2"/>
          </rPr>
          <t>5.12</t>
        </r>
        <r>
          <rPr>
            <sz val="8"/>
            <color indexed="81"/>
            <rFont val="Arial"/>
            <family val="2"/>
          </rPr>
          <t>), não devendo ser preenchida.</t>
        </r>
      </text>
    </comment>
    <comment ref="A191" authorId="0" shapeId="0" xr:uid="{00000000-0006-0000-0500-0000A1000000}">
      <text>
        <r>
          <rPr>
            <b/>
            <sz val="8"/>
            <color indexed="81"/>
            <rFont val="Arial"/>
            <family val="2"/>
          </rPr>
          <t>8.11. Despesas com o sistema por vaca em litros de leite (litros/vaca):</t>
        </r>
        <r>
          <rPr>
            <sz val="8"/>
            <color indexed="81"/>
            <rFont val="Arial"/>
            <family val="2"/>
          </rPr>
          <t xml:space="preserve"> indica o quanto de dinheiro com o sistema (custeio + investimentos), somado à remuneração do proprietário foi gasto por vaca do rebanho, expresso em litros de leite. É obtido pela soma da remuneração do proprietário mais as despesas com o sistema por vaca, dividindo-se o resultado pela média geral de preços. Esta célula é ocupada por uma fórmula (soma dos itens </t>
        </r>
        <r>
          <rPr>
            <b/>
            <sz val="8"/>
            <color indexed="81"/>
            <rFont val="Arial"/>
            <family val="2"/>
          </rPr>
          <t>3</t>
        </r>
        <r>
          <rPr>
            <sz val="8"/>
            <color indexed="81"/>
            <rFont val="Arial"/>
            <family val="2"/>
          </rPr>
          <t xml:space="preserve"> e </t>
        </r>
        <r>
          <rPr>
            <b/>
            <sz val="8"/>
            <color indexed="81"/>
            <rFont val="Arial"/>
            <family val="2"/>
          </rPr>
          <t>8.1</t>
        </r>
        <r>
          <rPr>
            <sz val="8"/>
            <color indexed="81"/>
            <rFont val="Arial"/>
            <family val="2"/>
          </rPr>
          <t xml:space="preserve">, dividida pela soma dos itens </t>
        </r>
        <r>
          <rPr>
            <b/>
            <sz val="8"/>
            <color indexed="81"/>
            <rFont val="Arial"/>
            <family val="2"/>
          </rPr>
          <t>5.11</t>
        </r>
        <r>
          <rPr>
            <sz val="8"/>
            <color indexed="81"/>
            <rFont val="Arial"/>
            <family val="2"/>
          </rPr>
          <t xml:space="preserve"> e </t>
        </r>
        <r>
          <rPr>
            <b/>
            <sz val="8"/>
            <color indexed="81"/>
            <rFont val="Arial"/>
            <family val="2"/>
          </rPr>
          <t>5.12</t>
        </r>
        <r>
          <rPr>
            <sz val="8"/>
            <color indexed="81"/>
            <rFont val="Arial"/>
            <family val="2"/>
          </rPr>
          <t xml:space="preserve">, sendo o resultado dividido pelo item </t>
        </r>
        <r>
          <rPr>
            <b/>
            <sz val="8"/>
            <color indexed="81"/>
            <rFont val="Arial"/>
            <family val="2"/>
          </rPr>
          <t>6.4</t>
        </r>
        <r>
          <rPr>
            <sz val="8"/>
            <color indexed="81"/>
            <rFont val="Arial"/>
            <family val="2"/>
          </rPr>
          <t>), não devendo ser preenchida.</t>
        </r>
      </text>
    </comment>
    <comment ref="A192" authorId="2" shapeId="0" xr:uid="{00000000-0006-0000-0500-0000A2000000}">
      <text>
        <r>
          <rPr>
            <b/>
            <sz val="8"/>
            <color indexed="81"/>
            <rFont val="Arial"/>
            <family val="2"/>
          </rPr>
          <t>8.12. Custo total (CT) (R$/litro):</t>
        </r>
        <r>
          <rPr>
            <sz val="8"/>
            <color indexed="81"/>
            <rFont val="Arial"/>
            <family val="2"/>
          </rPr>
          <t xml:space="preserve"> custo obtido pela soma da remuneração do proprietário, das despesas com custeio, depreciações de instalações e máquinas e remuneração do capital investido em animais e terra, dividindo-se o resultado pela quantidade de </t>
        </r>
        <r>
          <rPr>
            <b/>
            <sz val="8"/>
            <color indexed="81"/>
            <rFont val="Arial"/>
            <family val="2"/>
          </rPr>
          <t>leite produzido</t>
        </r>
        <r>
          <rPr>
            <sz val="8"/>
            <color indexed="81"/>
            <rFont val="Arial"/>
            <family val="2"/>
          </rPr>
          <t xml:space="preserve">. Esta célula é ocupada por uma fórmula (somatório dos itens </t>
        </r>
        <r>
          <rPr>
            <b/>
            <sz val="8"/>
            <color indexed="81"/>
            <rFont val="Arial"/>
            <family val="2"/>
          </rPr>
          <t>1.37</t>
        </r>
        <r>
          <rPr>
            <sz val="8"/>
            <color indexed="81"/>
            <rFont val="Arial"/>
            <family val="2"/>
          </rPr>
          <t xml:space="preserve">, </t>
        </r>
        <r>
          <rPr>
            <b/>
            <sz val="8"/>
            <color indexed="81"/>
            <rFont val="Arial"/>
            <family val="2"/>
          </rPr>
          <t>6.9</t>
        </r>
        <r>
          <rPr>
            <sz val="8"/>
            <color indexed="81"/>
            <rFont val="Arial"/>
            <family val="2"/>
          </rPr>
          <t xml:space="preserve">, </t>
        </r>
        <r>
          <rPr>
            <b/>
            <sz val="8"/>
            <color indexed="81"/>
            <rFont val="Arial"/>
            <family val="2"/>
          </rPr>
          <t>6.10</t>
        </r>
        <r>
          <rPr>
            <sz val="8"/>
            <color indexed="81"/>
            <rFont val="Arial"/>
            <family val="2"/>
          </rPr>
          <t xml:space="preserve">, </t>
        </r>
        <r>
          <rPr>
            <b/>
            <sz val="8"/>
            <color indexed="81"/>
            <rFont val="Arial"/>
            <family val="2"/>
          </rPr>
          <t>6.11</t>
        </r>
        <r>
          <rPr>
            <sz val="8"/>
            <color indexed="81"/>
            <rFont val="Arial"/>
            <family val="2"/>
          </rPr>
          <t xml:space="preserve">, </t>
        </r>
        <r>
          <rPr>
            <b/>
            <sz val="8"/>
            <color indexed="81"/>
            <rFont val="Arial"/>
            <family val="2"/>
          </rPr>
          <t>6.12</t>
        </r>
        <r>
          <rPr>
            <sz val="8"/>
            <color indexed="81"/>
            <rFont val="Arial"/>
            <family val="2"/>
          </rPr>
          <t xml:space="preserve"> e </t>
        </r>
        <r>
          <rPr>
            <b/>
            <sz val="8"/>
            <color indexed="81"/>
            <rFont val="Arial"/>
            <family val="2"/>
          </rPr>
          <t>8.1</t>
        </r>
        <r>
          <rPr>
            <sz val="8"/>
            <color indexed="81"/>
            <rFont val="Arial"/>
            <family val="2"/>
          </rPr>
          <t xml:space="preserve">, dividido pelo item </t>
        </r>
        <r>
          <rPr>
            <b/>
            <sz val="8"/>
            <color indexed="81"/>
            <rFont val="Arial"/>
            <family val="2"/>
          </rPr>
          <t>5.8</t>
        </r>
        <r>
          <rPr>
            <sz val="8"/>
            <color indexed="81"/>
            <rFont val="Arial"/>
            <family val="2"/>
          </rPr>
          <t>), não devendo ser preenchida.</t>
        </r>
      </text>
    </comment>
    <comment ref="A193" authorId="2" shapeId="0" xr:uid="{00000000-0006-0000-0500-0000A3000000}">
      <text>
        <r>
          <rPr>
            <b/>
            <sz val="8"/>
            <color indexed="81"/>
            <rFont val="Arial"/>
            <family val="2"/>
          </rPr>
          <t>8.13. Custo total com equivalente-leite (R$/litro):</t>
        </r>
        <r>
          <rPr>
            <sz val="8"/>
            <color indexed="81"/>
            <rFont val="Arial"/>
            <family val="2"/>
          </rPr>
          <t xml:space="preserve"> custo obtido pela soma da remuneração do proprietário, das despesas de custeio, depreciações de instalações e máquinas e remuneração do capital investido em animais e terra, dividindo-se o resultado pela soma da quantidade de </t>
        </r>
        <r>
          <rPr>
            <b/>
            <sz val="8"/>
            <color indexed="81"/>
            <rFont val="Arial"/>
            <family val="2"/>
          </rPr>
          <t>leite produzido mais o equivalente-leite</t>
        </r>
        <r>
          <rPr>
            <sz val="8"/>
            <color indexed="81"/>
            <rFont val="Arial"/>
            <family val="2"/>
          </rPr>
          <t xml:space="preserve">. Esta célula é ocupada por uma fórmula (somatório dos itens </t>
        </r>
        <r>
          <rPr>
            <b/>
            <sz val="8"/>
            <color indexed="81"/>
            <rFont val="Arial"/>
            <family val="2"/>
          </rPr>
          <t>1.37, 6.9, 6.10, 6.11, 6.12</t>
        </r>
        <r>
          <rPr>
            <sz val="8"/>
            <color indexed="81"/>
            <rFont val="Arial"/>
            <family val="2"/>
          </rPr>
          <t xml:space="preserve"> e </t>
        </r>
        <r>
          <rPr>
            <b/>
            <sz val="8"/>
            <color indexed="81"/>
            <rFont val="Arial"/>
            <family val="2"/>
          </rPr>
          <t>8.1</t>
        </r>
        <r>
          <rPr>
            <sz val="8"/>
            <color indexed="81"/>
            <rFont val="Arial"/>
            <family val="2"/>
          </rPr>
          <t xml:space="preserve">, dividido pelo resultado da soma dos itens </t>
        </r>
        <r>
          <rPr>
            <b/>
            <sz val="8"/>
            <color indexed="81"/>
            <rFont val="Arial"/>
            <family val="2"/>
          </rPr>
          <t>5.8</t>
        </r>
        <r>
          <rPr>
            <sz val="8"/>
            <color indexed="81"/>
            <rFont val="Arial"/>
            <family val="2"/>
          </rPr>
          <t xml:space="preserve"> e </t>
        </r>
        <r>
          <rPr>
            <b/>
            <sz val="8"/>
            <color indexed="81"/>
            <rFont val="Arial"/>
            <family val="2"/>
          </rPr>
          <t>5.25</t>
        </r>
        <r>
          <rPr>
            <sz val="8"/>
            <color indexed="81"/>
            <rFont val="Arial"/>
            <family val="2"/>
          </rPr>
          <t>), não devendo ser preenchida.</t>
        </r>
      </text>
    </comment>
    <comment ref="A194" authorId="0" shapeId="0" xr:uid="{00000000-0006-0000-0500-0000A4000000}">
      <text>
        <r>
          <rPr>
            <b/>
            <sz val="8"/>
            <color indexed="81"/>
            <rFont val="Arial"/>
            <family val="2"/>
          </rPr>
          <t>8.14. Margem bruta (R$):</t>
        </r>
        <r>
          <rPr>
            <sz val="8"/>
            <color indexed="81"/>
            <rFont val="Arial"/>
            <family val="2"/>
          </rPr>
          <t xml:space="preserve"> é a receita total menos as despesas efetuadas com o custeio e com a remuneração do proprietário. Esta célula é ocupada por uma fórmula (item </t>
        </r>
        <r>
          <rPr>
            <b/>
            <sz val="8"/>
            <color indexed="81"/>
            <rFont val="Arial"/>
            <family val="2"/>
          </rPr>
          <t>4.9</t>
        </r>
        <r>
          <rPr>
            <sz val="8"/>
            <color indexed="81"/>
            <rFont val="Arial"/>
            <family val="2"/>
          </rPr>
          <t xml:space="preserve"> menos os itens </t>
        </r>
        <r>
          <rPr>
            <b/>
            <sz val="8"/>
            <color indexed="81"/>
            <rFont val="Arial"/>
            <family val="2"/>
          </rPr>
          <t>1.37</t>
        </r>
        <r>
          <rPr>
            <sz val="8"/>
            <color indexed="81"/>
            <rFont val="Arial"/>
            <family val="2"/>
          </rPr>
          <t xml:space="preserve"> e </t>
        </r>
        <r>
          <rPr>
            <b/>
            <sz val="8"/>
            <color indexed="81"/>
            <rFont val="Arial"/>
            <family val="2"/>
          </rPr>
          <t>8.1</t>
        </r>
        <r>
          <rPr>
            <sz val="8"/>
            <color indexed="81"/>
            <rFont val="Arial"/>
            <family val="2"/>
          </rPr>
          <t>), não devendo ser preenchida.</t>
        </r>
      </text>
    </comment>
    <comment ref="A195" authorId="2" shapeId="0" xr:uid="{00000000-0006-0000-0500-0000A5000000}">
      <text>
        <r>
          <rPr>
            <b/>
            <sz val="8"/>
            <color indexed="81"/>
            <rFont val="Arial"/>
            <family val="2"/>
          </rPr>
          <t>8.15. Margem bruta por área (R$/ha):</t>
        </r>
        <r>
          <rPr>
            <sz val="8"/>
            <color indexed="81"/>
            <rFont val="Arial"/>
            <family val="2"/>
          </rPr>
          <t xml:space="preserve"> é a receita total menos as despesas efetuadas com o custeio e a remuneração do proprietário, dividindo-se o resultado pela área total ocupada pela atividde leiteira. Esta célula é ocupada por uma fórmula (item </t>
        </r>
        <r>
          <rPr>
            <b/>
            <sz val="8"/>
            <color indexed="81"/>
            <rFont val="Arial"/>
            <family val="2"/>
          </rPr>
          <t>4.9</t>
        </r>
        <r>
          <rPr>
            <sz val="8"/>
            <color indexed="81"/>
            <rFont val="Arial"/>
            <family val="2"/>
          </rPr>
          <t xml:space="preserve"> menos os itens </t>
        </r>
        <r>
          <rPr>
            <b/>
            <sz val="8"/>
            <color indexed="81"/>
            <rFont val="Arial"/>
            <family val="2"/>
          </rPr>
          <t>1.37</t>
        </r>
        <r>
          <rPr>
            <sz val="8"/>
            <color indexed="81"/>
            <rFont val="Arial"/>
            <family val="2"/>
          </rPr>
          <t xml:space="preserve"> e </t>
        </r>
        <r>
          <rPr>
            <b/>
            <sz val="8"/>
            <color indexed="81"/>
            <rFont val="Arial"/>
            <family val="2"/>
          </rPr>
          <t>8.1</t>
        </r>
        <r>
          <rPr>
            <sz val="8"/>
            <color indexed="81"/>
            <rFont val="Arial"/>
            <family val="2"/>
          </rPr>
          <t xml:space="preserve">, dividido pelo item </t>
        </r>
        <r>
          <rPr>
            <b/>
            <sz val="8"/>
            <color indexed="81"/>
            <rFont val="Arial"/>
            <family val="2"/>
          </rPr>
          <t>5.32</t>
        </r>
        <r>
          <rPr>
            <sz val="8"/>
            <color indexed="81"/>
            <rFont val="Arial"/>
            <family val="2"/>
          </rPr>
          <t>), não devendo ser preenchida.</t>
        </r>
      </text>
    </comment>
    <comment ref="A196" authorId="1" shapeId="0" xr:uid="{00000000-0006-0000-0500-0000A6000000}">
      <text>
        <r>
          <rPr>
            <b/>
            <sz val="8"/>
            <color indexed="81"/>
            <rFont val="Arial"/>
            <family val="2"/>
          </rPr>
          <t>8.16. Margem bruta por vaca (R$/vaca):</t>
        </r>
        <r>
          <rPr>
            <sz val="8"/>
            <color indexed="81"/>
            <rFont val="Arial"/>
            <family val="2"/>
          </rPr>
          <t xml:space="preserve"> é a receita total menos as despesas efetuadas com o custeio e a remuneração do proprietário, dividindo-se o resultado pela quantidade de vacas no rebanho. Esta célula é ocupada por uma fórmula (item </t>
        </r>
        <r>
          <rPr>
            <b/>
            <sz val="8"/>
            <color indexed="81"/>
            <rFont val="Arial"/>
            <family val="2"/>
          </rPr>
          <t>4.9</t>
        </r>
        <r>
          <rPr>
            <sz val="8"/>
            <color indexed="81"/>
            <rFont val="Arial"/>
            <family val="2"/>
          </rPr>
          <t xml:space="preserve"> menos a soma dos itens </t>
        </r>
        <r>
          <rPr>
            <b/>
            <sz val="8"/>
            <color indexed="81"/>
            <rFont val="Arial"/>
            <family val="2"/>
          </rPr>
          <t>1.37</t>
        </r>
        <r>
          <rPr>
            <sz val="8"/>
            <color indexed="81"/>
            <rFont val="Arial"/>
            <family val="2"/>
          </rPr>
          <t xml:space="preserve"> e </t>
        </r>
        <r>
          <rPr>
            <b/>
            <sz val="8"/>
            <color indexed="81"/>
            <rFont val="Arial"/>
            <family val="2"/>
          </rPr>
          <t>8.1</t>
        </r>
        <r>
          <rPr>
            <sz val="8"/>
            <color indexed="81"/>
            <rFont val="Arial"/>
            <family val="2"/>
          </rPr>
          <t xml:space="preserve">, dividindo-se o resultado pela soma dos itens </t>
        </r>
        <r>
          <rPr>
            <b/>
            <sz val="8"/>
            <color indexed="81"/>
            <rFont val="Arial"/>
            <family val="2"/>
          </rPr>
          <t>5.11</t>
        </r>
        <r>
          <rPr>
            <sz val="8"/>
            <color indexed="81"/>
            <rFont val="Arial"/>
            <family val="2"/>
          </rPr>
          <t xml:space="preserve"> e </t>
        </r>
        <r>
          <rPr>
            <b/>
            <sz val="8"/>
            <color indexed="81"/>
            <rFont val="Arial"/>
            <family val="2"/>
          </rPr>
          <t>5.12</t>
        </r>
        <r>
          <rPr>
            <sz val="8"/>
            <color indexed="81"/>
            <rFont val="Arial"/>
            <family val="2"/>
          </rPr>
          <t>), não devendo ser preenchida.</t>
        </r>
      </text>
    </comment>
    <comment ref="A197" authorId="2" shapeId="0" xr:uid="{00000000-0006-0000-0500-0000A7000000}">
      <text>
        <r>
          <rPr>
            <b/>
            <sz val="8"/>
            <color indexed="81"/>
            <rFont val="Arial"/>
            <family val="2"/>
          </rPr>
          <t>8.17. Lucro (R$):</t>
        </r>
        <r>
          <rPr>
            <sz val="8"/>
            <color indexed="81"/>
            <rFont val="Arial"/>
            <family val="2"/>
          </rPr>
          <t xml:space="preserve"> é o objetivo de todo empreendimento e o resultado de um trabalho sério e correto, cujo valor é obtido retirando-se da receita total a soma das despesas com o custeio, depreciações de intalações e máquinas, remuneração do capital investido em animais e terra e a remuneração do proprietário. Esta célula é ocupada por uma fórmula (item </t>
        </r>
        <r>
          <rPr>
            <b/>
            <sz val="8"/>
            <color indexed="81"/>
            <rFont val="Arial"/>
            <family val="2"/>
          </rPr>
          <t>4.9</t>
        </r>
        <r>
          <rPr>
            <sz val="8"/>
            <color indexed="81"/>
            <rFont val="Arial"/>
            <family val="2"/>
          </rPr>
          <t xml:space="preserve"> menos os itens </t>
        </r>
        <r>
          <rPr>
            <b/>
            <sz val="8"/>
            <color indexed="81"/>
            <rFont val="Arial"/>
            <family val="2"/>
          </rPr>
          <t>1.37, 6.9, 6.10, 6.11, 6.12</t>
        </r>
        <r>
          <rPr>
            <sz val="8"/>
            <color indexed="81"/>
            <rFont val="Arial"/>
            <family val="2"/>
          </rPr>
          <t xml:space="preserve"> e </t>
        </r>
        <r>
          <rPr>
            <b/>
            <sz val="8"/>
            <color indexed="81"/>
            <rFont val="Arial"/>
            <family val="2"/>
          </rPr>
          <t>8.1</t>
        </r>
        <r>
          <rPr>
            <sz val="8"/>
            <color indexed="81"/>
            <rFont val="Arial"/>
            <family val="2"/>
          </rPr>
          <t>), não devendo ser preenchida.</t>
        </r>
      </text>
    </comment>
    <comment ref="A198" authorId="2" shapeId="0" xr:uid="{00000000-0006-0000-0500-0000A8000000}">
      <text>
        <r>
          <rPr>
            <b/>
            <sz val="8"/>
            <color indexed="81"/>
            <rFont val="Arial"/>
            <family val="2"/>
          </rPr>
          <t>8.18. Lucro por área (R$/ha):</t>
        </r>
        <r>
          <rPr>
            <sz val="8"/>
            <color indexed="81"/>
            <rFont val="Arial"/>
            <family val="2"/>
          </rPr>
          <t xml:space="preserve"> é o lucro dividido pela área total utilizada pela atividade leiteira. Esta célula é ocupada por uma fórmula (item </t>
        </r>
        <r>
          <rPr>
            <b/>
            <sz val="8"/>
            <color indexed="81"/>
            <rFont val="Arial"/>
            <family val="2"/>
          </rPr>
          <t>8.17</t>
        </r>
        <r>
          <rPr>
            <sz val="8"/>
            <color indexed="81"/>
            <rFont val="Arial"/>
            <family val="2"/>
          </rPr>
          <t xml:space="preserve"> dividido pelo item </t>
        </r>
        <r>
          <rPr>
            <b/>
            <sz val="8"/>
            <color indexed="81"/>
            <rFont val="Arial"/>
            <family val="2"/>
          </rPr>
          <t>5.32</t>
        </r>
        <r>
          <rPr>
            <sz val="8"/>
            <color indexed="81"/>
            <rFont val="Arial"/>
            <family val="2"/>
          </rPr>
          <t>), não devendo ser preenchida.</t>
        </r>
      </text>
    </comment>
    <comment ref="A199" authorId="2" shapeId="0" xr:uid="{00000000-0006-0000-0500-0000A9000000}">
      <text>
        <r>
          <rPr>
            <b/>
            <sz val="8"/>
            <color indexed="81"/>
            <rFont val="Arial"/>
            <family val="2"/>
          </rPr>
          <t>8.19. Lucro por litro (R$/litro):</t>
        </r>
        <r>
          <rPr>
            <sz val="8"/>
            <color indexed="81"/>
            <rFont val="Arial"/>
            <family val="2"/>
          </rPr>
          <t xml:space="preserve"> é o lucro dividido pela quantidade produzida de leite. Esta célula é ocupada por uma fórmula (item </t>
        </r>
        <r>
          <rPr>
            <b/>
            <sz val="8"/>
            <color indexed="81"/>
            <rFont val="Arial"/>
            <family val="2"/>
          </rPr>
          <t>8.17</t>
        </r>
        <r>
          <rPr>
            <sz val="8"/>
            <color indexed="81"/>
            <rFont val="Arial"/>
            <family val="2"/>
          </rPr>
          <t xml:space="preserve"> dividido pelo item </t>
        </r>
        <r>
          <rPr>
            <b/>
            <sz val="8"/>
            <color indexed="81"/>
            <rFont val="Arial"/>
            <family val="2"/>
          </rPr>
          <t>5.8</t>
        </r>
        <r>
          <rPr>
            <sz val="8"/>
            <color indexed="81"/>
            <rFont val="Arial"/>
            <family val="2"/>
          </rPr>
          <t>), não devendo ser preenchida.</t>
        </r>
      </text>
    </comment>
    <comment ref="A200" authorId="2" shapeId="0" xr:uid="{00000000-0006-0000-0500-0000AA000000}">
      <text>
        <r>
          <rPr>
            <b/>
            <sz val="8"/>
            <color indexed="81"/>
            <rFont val="Arial"/>
            <family val="2"/>
          </rPr>
          <t>8.20. Lucro por vaca por dia (R$/vaca.dia):</t>
        </r>
        <r>
          <rPr>
            <sz val="8"/>
            <color indexed="81"/>
            <rFont val="Arial"/>
            <family val="2"/>
          </rPr>
          <t xml:space="preserve"> é o lucro dividido pela quantidade de vacas existentes no rebanho, dividindo-se o resultado pelo número de dias que compõe cada mês. Esta célula é ocupada por uma fórmula (item </t>
        </r>
        <r>
          <rPr>
            <b/>
            <sz val="8"/>
            <color indexed="81"/>
            <rFont val="Arial"/>
            <family val="2"/>
          </rPr>
          <t>8.17</t>
        </r>
        <r>
          <rPr>
            <sz val="8"/>
            <color indexed="81"/>
            <rFont val="Arial"/>
            <family val="2"/>
          </rPr>
          <t xml:space="preserve"> dividido pela soma dos itens </t>
        </r>
        <r>
          <rPr>
            <b/>
            <sz val="8"/>
            <color indexed="81"/>
            <rFont val="Arial"/>
            <family val="2"/>
          </rPr>
          <t>5.11</t>
        </r>
        <r>
          <rPr>
            <sz val="8"/>
            <color indexed="81"/>
            <rFont val="Arial"/>
            <family val="2"/>
          </rPr>
          <t xml:space="preserve"> e </t>
        </r>
        <r>
          <rPr>
            <b/>
            <sz val="8"/>
            <color indexed="81"/>
            <rFont val="Arial"/>
            <family val="2"/>
          </rPr>
          <t>5.12</t>
        </r>
        <r>
          <rPr>
            <sz val="8"/>
            <color indexed="81"/>
            <rFont val="Arial"/>
            <family val="2"/>
          </rPr>
          <t>, sendo o resultado dividido pelo número de dias de cada mês), não devendo ser preenchida.</t>
        </r>
      </text>
    </comment>
    <comment ref="A201" authorId="2" shapeId="0" xr:uid="{00000000-0006-0000-0500-0000AB000000}">
      <text>
        <r>
          <rPr>
            <b/>
            <sz val="8"/>
            <color indexed="81"/>
            <rFont val="Arial"/>
            <family val="2"/>
          </rPr>
          <t>8.21. Lucro por vaca por dia em litros (litros/vaca.dia):</t>
        </r>
        <r>
          <rPr>
            <sz val="8"/>
            <color indexed="81"/>
            <rFont val="Arial"/>
            <family val="2"/>
          </rPr>
          <t xml:space="preserve"> é o valor resultante da divisão do lucro por vaca por dia, pela média geral de preços. Esta célula é ocupada por uma fórmula (item </t>
        </r>
        <r>
          <rPr>
            <b/>
            <sz val="8"/>
            <color indexed="81"/>
            <rFont val="Arial"/>
            <family val="2"/>
          </rPr>
          <t>8.20</t>
        </r>
        <r>
          <rPr>
            <sz val="8"/>
            <color indexed="81"/>
            <rFont val="Arial"/>
            <family val="2"/>
          </rPr>
          <t xml:space="preserve"> dividido pelo item </t>
        </r>
        <r>
          <rPr>
            <b/>
            <sz val="8"/>
            <color indexed="81"/>
            <rFont val="Arial"/>
            <family val="2"/>
          </rPr>
          <t>6.4</t>
        </r>
        <r>
          <rPr>
            <sz val="8"/>
            <color indexed="81"/>
            <rFont val="Arial"/>
            <family val="2"/>
          </rPr>
          <t>), não devendo ser preenchida.</t>
        </r>
      </text>
    </comment>
    <comment ref="A202" authorId="2" shapeId="0" xr:uid="{00000000-0006-0000-0500-0000AC000000}">
      <text>
        <r>
          <rPr>
            <b/>
            <sz val="8"/>
            <color indexed="81"/>
            <rFont val="Arial"/>
            <family val="2"/>
          </rPr>
          <t>8.22. Lucro por vaca por ano (R$/vaca.ano):</t>
        </r>
        <r>
          <rPr>
            <sz val="8"/>
            <color indexed="81"/>
            <rFont val="Arial"/>
            <family val="2"/>
          </rPr>
          <t xml:space="preserve"> é o valor resultante da multiplicação do lucro por vaca por dia, por 365 dias. Esta célula é ocupada por uma fórmula (item </t>
        </r>
        <r>
          <rPr>
            <b/>
            <sz val="8"/>
            <color indexed="81"/>
            <rFont val="Arial"/>
            <family val="2"/>
          </rPr>
          <t>8.20</t>
        </r>
        <r>
          <rPr>
            <sz val="8"/>
            <color indexed="81"/>
            <rFont val="Arial"/>
            <family val="2"/>
          </rPr>
          <t xml:space="preserve"> multiplicado por </t>
        </r>
        <r>
          <rPr>
            <b/>
            <sz val="8"/>
            <color indexed="81"/>
            <rFont val="Arial"/>
            <family val="2"/>
          </rPr>
          <t>365</t>
        </r>
        <r>
          <rPr>
            <sz val="8"/>
            <color indexed="81"/>
            <rFont val="Arial"/>
            <family val="2"/>
          </rPr>
          <t xml:space="preserve"> dias), não devendo ser preenchida.</t>
        </r>
      </text>
    </comment>
    <comment ref="A203" authorId="2" shapeId="0" xr:uid="{00000000-0006-0000-0500-0000AD000000}">
      <text>
        <r>
          <rPr>
            <b/>
            <sz val="8"/>
            <color indexed="81"/>
            <rFont val="Arial"/>
            <family val="2"/>
          </rPr>
          <t>8.23. Lucro por vaca por ano em litros (litros/vaca.ano):</t>
        </r>
        <r>
          <rPr>
            <sz val="8"/>
            <color indexed="81"/>
            <rFont val="Arial"/>
            <family val="2"/>
          </rPr>
          <t xml:space="preserve"> é o valor resultante da multiplicação do lucro por vaca por dia em litros, por 365 dias. Esta célula é ocupada por uma fórmula (item </t>
        </r>
        <r>
          <rPr>
            <b/>
            <sz val="8"/>
            <color indexed="81"/>
            <rFont val="Arial"/>
            <family val="2"/>
          </rPr>
          <t>8.21</t>
        </r>
        <r>
          <rPr>
            <sz val="8"/>
            <color indexed="81"/>
            <rFont val="Arial"/>
            <family val="2"/>
          </rPr>
          <t xml:space="preserve"> multiplicado por </t>
        </r>
        <r>
          <rPr>
            <b/>
            <sz val="8"/>
            <color indexed="81"/>
            <rFont val="Arial"/>
            <family val="2"/>
          </rPr>
          <t>365</t>
        </r>
        <r>
          <rPr>
            <sz val="8"/>
            <color indexed="81"/>
            <rFont val="Arial"/>
            <family val="2"/>
          </rPr>
          <t xml:space="preserve"> dias), não devendo ser preenchida.</t>
        </r>
      </text>
    </comment>
    <comment ref="A204" authorId="2" shapeId="0" xr:uid="{00000000-0006-0000-0500-0000AE000000}">
      <text>
        <r>
          <rPr>
            <b/>
            <sz val="8"/>
            <color indexed="81"/>
            <rFont val="Arial"/>
            <family val="2"/>
          </rPr>
          <t>8.24. Custo variável/Custo total (%):</t>
        </r>
        <r>
          <rPr>
            <sz val="8"/>
            <color indexed="81"/>
            <rFont val="Arial"/>
            <family val="2"/>
          </rPr>
          <t xml:space="preserve"> é a participação das despesas com o custeio (operacionais ou variáveis) no custo total da atividade leiteira. É obtido dividindo-se as despesas com o custeio pela soma das despesas com o custeio, depreciações de instalações e máquinas e remuneração do capital investido em animais e terra mais a remuneração do proprietário, multiplicando-se o resultado por 100. Esta célula é ocupada por uma fórmula (item </t>
        </r>
        <r>
          <rPr>
            <b/>
            <sz val="8"/>
            <color indexed="81"/>
            <rFont val="Arial"/>
            <family val="2"/>
          </rPr>
          <t>1.37</t>
        </r>
        <r>
          <rPr>
            <sz val="8"/>
            <color indexed="81"/>
            <rFont val="Arial"/>
            <family val="2"/>
          </rPr>
          <t xml:space="preserve"> dividido pela soma dos itens </t>
        </r>
        <r>
          <rPr>
            <b/>
            <sz val="8"/>
            <color indexed="81"/>
            <rFont val="Arial"/>
            <family val="2"/>
          </rPr>
          <t>1.37, 6.9, 6.10, 6.11, 6.12</t>
        </r>
        <r>
          <rPr>
            <sz val="8"/>
            <color indexed="81"/>
            <rFont val="Arial"/>
            <family val="2"/>
          </rPr>
          <t xml:space="preserve"> e </t>
        </r>
        <r>
          <rPr>
            <b/>
            <sz val="8"/>
            <color indexed="81"/>
            <rFont val="Arial"/>
            <family val="2"/>
          </rPr>
          <t>8.1</t>
        </r>
        <r>
          <rPr>
            <sz val="8"/>
            <color indexed="81"/>
            <rFont val="Arial"/>
            <family val="2"/>
          </rPr>
          <t>, multiplicando o resultado por 100), não devendo ser preenchida.</t>
        </r>
      </text>
    </comment>
    <comment ref="A205" authorId="2" shapeId="0" xr:uid="{00000000-0006-0000-0500-0000AF000000}">
      <text>
        <r>
          <rPr>
            <b/>
            <sz val="8"/>
            <color indexed="81"/>
            <rFont val="Arial"/>
            <family val="2"/>
          </rPr>
          <t>8.25. Custo fixo/custo total (%):</t>
        </r>
        <r>
          <rPr>
            <sz val="8"/>
            <color indexed="81"/>
            <rFont val="Arial"/>
            <family val="2"/>
          </rPr>
          <t xml:space="preserve"> é a participação das despesas fixas no custo total da atividade leiteira. É obtida dividindo-se a soma das depreciações de instalações e máquinas e remuneração do capital investido em animais e terra, mais a remuneração do proprietário, pela soma das despesas com o custeio, depreciações de instalações e máquinas, remuneração do capital investido em animais e terra e a remuneração do proprietário, multiplicando-se o resultado por 100. Esta célula é ocupada por uma fórmula (soma dos itens </t>
        </r>
        <r>
          <rPr>
            <b/>
            <sz val="8"/>
            <color indexed="81"/>
            <rFont val="Arial"/>
            <family val="2"/>
          </rPr>
          <t>6.9, 6.10, 6.11, 6.12</t>
        </r>
        <r>
          <rPr>
            <sz val="8"/>
            <color indexed="81"/>
            <rFont val="Arial"/>
            <family val="2"/>
          </rPr>
          <t xml:space="preserve"> e </t>
        </r>
        <r>
          <rPr>
            <b/>
            <sz val="8"/>
            <color indexed="81"/>
            <rFont val="Arial"/>
            <family val="2"/>
          </rPr>
          <t>8.1</t>
        </r>
        <r>
          <rPr>
            <sz val="8"/>
            <color indexed="81"/>
            <rFont val="Arial"/>
            <family val="2"/>
          </rPr>
          <t xml:space="preserve">, dividindo-se o produto pela soma dos itens </t>
        </r>
        <r>
          <rPr>
            <b/>
            <sz val="8"/>
            <color indexed="81"/>
            <rFont val="Arial"/>
            <family val="2"/>
          </rPr>
          <t>1.37, 6.9, 6.10, 6.11, 6.12</t>
        </r>
        <r>
          <rPr>
            <sz val="8"/>
            <color indexed="81"/>
            <rFont val="Arial"/>
            <family val="2"/>
          </rPr>
          <t xml:space="preserve"> e </t>
        </r>
        <r>
          <rPr>
            <b/>
            <sz val="8"/>
            <color indexed="81"/>
            <rFont val="Arial"/>
            <family val="2"/>
          </rPr>
          <t>8.1</t>
        </r>
        <r>
          <rPr>
            <sz val="8"/>
            <color indexed="81"/>
            <rFont val="Arial"/>
            <family val="2"/>
          </rPr>
          <t>, multiplicando o resultado por 100), não devendo ser preenchida.</t>
        </r>
      </text>
    </comment>
    <comment ref="A206" authorId="2" shapeId="0" xr:uid="{00000000-0006-0000-0500-0000B0000000}">
      <text>
        <r>
          <rPr>
            <b/>
            <sz val="8"/>
            <color indexed="81"/>
            <rFont val="Arial"/>
            <family val="2"/>
          </rPr>
          <t>8.26. Taxa de Retorno do Investimento (%):</t>
        </r>
        <r>
          <rPr>
            <sz val="8"/>
            <color indexed="81"/>
            <rFont val="Arial"/>
            <family val="2"/>
          </rPr>
          <t xml:space="preserve"> também conhecida como Remuneração do Capital Investido, é obtida dividindo-se o lucro somado à remuneração do proprietário pelo capital total investido, multiplicando-se o resultado por 100. Esta célula é ocupada por uma fórmula (item </t>
        </r>
        <r>
          <rPr>
            <b/>
            <sz val="8"/>
            <color indexed="81"/>
            <rFont val="Arial"/>
            <family val="2"/>
          </rPr>
          <t>8.17</t>
        </r>
        <r>
          <rPr>
            <sz val="8"/>
            <color indexed="81"/>
            <rFont val="Arial"/>
            <family val="2"/>
          </rPr>
          <t xml:space="preserve"> dividido pelo item </t>
        </r>
        <r>
          <rPr>
            <b/>
            <sz val="8"/>
            <color indexed="81"/>
            <rFont val="Arial"/>
            <family val="2"/>
          </rPr>
          <t>6.13</t>
        </r>
        <r>
          <rPr>
            <sz val="8"/>
            <color indexed="81"/>
            <rFont val="Arial"/>
            <family val="2"/>
          </rPr>
          <t>, multiplicando o resultado por 100), não devendo ser preenchida.</t>
        </r>
      </text>
    </comment>
  </commentList>
</comments>
</file>

<file path=xl/sharedStrings.xml><?xml version="1.0" encoding="utf-8"?>
<sst xmlns="http://schemas.openxmlformats.org/spreadsheetml/2006/main" count="875" uniqueCount="355">
  <si>
    <t>-</t>
  </si>
  <si>
    <t>R$</t>
  </si>
  <si>
    <t>Total</t>
  </si>
  <si>
    <t>Pulverizador</t>
  </si>
  <si>
    <t>Outros</t>
  </si>
  <si>
    <t>anual  (R$)</t>
  </si>
  <si>
    <t>Trator</t>
  </si>
  <si>
    <t>Carreta</t>
  </si>
  <si>
    <t>quantidade</t>
  </si>
  <si>
    <t>(ha)</t>
  </si>
  <si>
    <t>unidade</t>
  </si>
  <si>
    <t>2.1. Animais</t>
  </si>
  <si>
    <t>2.2. Instalações</t>
  </si>
  <si>
    <t>2.3. Máquinas e equipamentos</t>
  </si>
  <si>
    <t>%</t>
  </si>
  <si>
    <t xml:space="preserve">2.4. Total </t>
  </si>
  <si>
    <t>1.2. Encargos sociais</t>
  </si>
  <si>
    <t>1.6. Concentrados energéticos</t>
  </si>
  <si>
    <t>1.7. Ração comercial</t>
  </si>
  <si>
    <t>1.9. Sal mineral</t>
  </si>
  <si>
    <t xml:space="preserve">      2.1.1 bezerras</t>
  </si>
  <si>
    <t xml:space="preserve">      2.1.2 novilhas</t>
  </si>
  <si>
    <t xml:space="preserve">      2.1.3 vacas</t>
  </si>
  <si>
    <t xml:space="preserve">      2.1.4 outros</t>
  </si>
  <si>
    <t xml:space="preserve">      2.1.5 total </t>
  </si>
  <si>
    <t>4. Receitas</t>
  </si>
  <si>
    <t>4.1. Leite vendido - empresa I</t>
  </si>
  <si>
    <t>4.4. Leite vendido - total</t>
  </si>
  <si>
    <t>4.5. Animais</t>
  </si>
  <si>
    <t xml:space="preserve">      4.5.1. bezerras</t>
  </si>
  <si>
    <t xml:space="preserve">      4.5.2. novilhas</t>
  </si>
  <si>
    <t xml:space="preserve">      4.5.3. vacas</t>
  </si>
  <si>
    <t xml:space="preserve">      4.5.4. outros</t>
  </si>
  <si>
    <t xml:space="preserve">      4.5.5. total </t>
  </si>
  <si>
    <t>4.6. Máquinas e equipamentos</t>
  </si>
  <si>
    <t>4.7. Serviços para terceiros</t>
  </si>
  <si>
    <t>4.8. Outras receitas</t>
  </si>
  <si>
    <t>4.2. Leite vendido - empresa II</t>
  </si>
  <si>
    <t>5.1. Leite vendido - empresa I</t>
  </si>
  <si>
    <t>5.2. Leite vendido - empresa II</t>
  </si>
  <si>
    <t>5.4. Leite vendido - total</t>
  </si>
  <si>
    <t>6.1. Média de preço - empresa I</t>
  </si>
  <si>
    <t>6.2. Média de preço - empresa II</t>
  </si>
  <si>
    <t>6.4. Média geral de preços</t>
  </si>
  <si>
    <t>6.5. Fluxo de caixa</t>
  </si>
  <si>
    <t>nº</t>
  </si>
  <si>
    <t>1.35. Arrendamentos</t>
  </si>
  <si>
    <t>1.36. Outros</t>
  </si>
  <si>
    <t xml:space="preserve">1.37. Total </t>
  </si>
  <si>
    <t>litros</t>
  </si>
  <si>
    <t>litros/ha</t>
  </si>
  <si>
    <t>R$/litro</t>
  </si>
  <si>
    <t>R$/ha</t>
  </si>
  <si>
    <t>remuneração</t>
  </si>
  <si>
    <t>(nº)</t>
  </si>
  <si>
    <t>Sala de ordenha</t>
  </si>
  <si>
    <t xml:space="preserve">Curral de manejo </t>
  </si>
  <si>
    <t>Botijão de sêmen</t>
  </si>
  <si>
    <t>(anos)</t>
  </si>
  <si>
    <t xml:space="preserve">vida útil </t>
  </si>
  <si>
    <t>Taxa de juros anual</t>
  </si>
  <si>
    <t>1.8. Leite em pó</t>
  </si>
  <si>
    <t>Categorias animais</t>
  </si>
  <si>
    <t>Vacas</t>
  </si>
  <si>
    <t>Novilhas prenhes</t>
  </si>
  <si>
    <t>Novilhas vazias</t>
  </si>
  <si>
    <t>Bezerras (até 1 ano)</t>
  </si>
  <si>
    <t>Touros</t>
  </si>
  <si>
    <t>Fev</t>
  </si>
  <si>
    <t>Mar</t>
  </si>
  <si>
    <t>Abr</t>
  </si>
  <si>
    <t>Mai</t>
  </si>
  <si>
    <t>Jun</t>
  </si>
  <si>
    <t>Jul</t>
  </si>
  <si>
    <t>Ago</t>
  </si>
  <si>
    <t>Set</t>
  </si>
  <si>
    <t>Out</t>
  </si>
  <si>
    <t>Nov</t>
  </si>
  <si>
    <t>Dez</t>
  </si>
  <si>
    <t>7. Resultados Econômicos</t>
  </si>
  <si>
    <t>(sem remuneração do proprietário)</t>
  </si>
  <si>
    <t>(com remuneração do proprietário)</t>
  </si>
  <si>
    <t>8. Resultados Econômicos</t>
  </si>
  <si>
    <t>8.1. Remuneração do proprietário</t>
  </si>
  <si>
    <t>ha</t>
  </si>
  <si>
    <t>Arado</t>
  </si>
  <si>
    <t xml:space="preserve">Grade </t>
  </si>
  <si>
    <t>vacas/ha</t>
  </si>
  <si>
    <t>5. Resultados</t>
  </si>
  <si>
    <t xml:space="preserve">    Zootécnicos</t>
  </si>
  <si>
    <t>6. Resultados</t>
  </si>
  <si>
    <t xml:space="preserve">    Econômicos</t>
  </si>
  <si>
    <t>---</t>
  </si>
  <si>
    <t>% da</t>
  </si>
  <si>
    <t>Jan</t>
  </si>
  <si>
    <t>1.14. Defensivos</t>
  </si>
  <si>
    <t>1.15. Sementes e mudas</t>
  </si>
  <si>
    <t>1.16. Volumosos comprados</t>
  </si>
  <si>
    <t>1.17. Sêmen</t>
  </si>
  <si>
    <t>1.18. Material para inseminação</t>
  </si>
  <si>
    <t>1.19. Medicamentos preventivos</t>
  </si>
  <si>
    <t>1.20. Medicamentos curativos</t>
  </si>
  <si>
    <t>1.21. Exames sanitários</t>
  </si>
  <si>
    <t>1.22. Material de ordenha</t>
  </si>
  <si>
    <t>1.23. Ferramentas e utensílios</t>
  </si>
  <si>
    <t>1.24. Combustíveis</t>
  </si>
  <si>
    <t>1.25. Mecanização terceirizada</t>
  </si>
  <si>
    <t>1.26. Manutenção de máquinas</t>
  </si>
  <si>
    <t>1.27. Manutenção de instalações</t>
  </si>
  <si>
    <t>1.28. Energia elétrica</t>
  </si>
  <si>
    <t>1.29. Telefone</t>
  </si>
  <si>
    <t>1.30. Taxas e impostos</t>
  </si>
  <si>
    <t>1.31. Fretes do leite</t>
  </si>
  <si>
    <t>1.32. Assistência técnica</t>
  </si>
  <si>
    <t>1.33. Escritório e contabilidade</t>
  </si>
  <si>
    <t xml:space="preserve">1.34. Juros </t>
  </si>
  <si>
    <t>(R$)</t>
  </si>
  <si>
    <t>Galpão (armazenamento de insumos)</t>
  </si>
  <si>
    <t>Reservatório de água</t>
  </si>
  <si>
    <t>Cercas</t>
  </si>
  <si>
    <t>Estábulo</t>
  </si>
  <si>
    <t>Outras</t>
  </si>
  <si>
    <t>Equipamento para irrigação</t>
  </si>
  <si>
    <t>Aparelho para cerca elétrica</t>
  </si>
  <si>
    <t>Triturador ou picador de forragens</t>
  </si>
  <si>
    <t>Balança para pesagem de animais</t>
  </si>
  <si>
    <t>Gerador de energia</t>
  </si>
  <si>
    <t>Carroça</t>
  </si>
  <si>
    <t>Indice</t>
  </si>
  <si>
    <t>R$/vaca</t>
  </si>
  <si>
    <t>l/vaca</t>
  </si>
  <si>
    <t>Roçadora costal</t>
  </si>
  <si>
    <t xml:space="preserve">Sala do leite </t>
  </si>
  <si>
    <t>total (R$)</t>
  </si>
  <si>
    <t>valor</t>
  </si>
  <si>
    <t xml:space="preserve">individual (R$) </t>
  </si>
  <si>
    <t xml:space="preserve">total (R$) </t>
  </si>
  <si>
    <t>inicial (R$)</t>
  </si>
  <si>
    <t>residual (R$)</t>
  </si>
  <si>
    <t>anual (R$)</t>
  </si>
  <si>
    <t>l/vaca.dia</t>
  </si>
  <si>
    <t>l/H.dia</t>
  </si>
  <si>
    <t>R$/v.dia</t>
  </si>
  <si>
    <t>R$/v.ano</t>
  </si>
  <si>
    <t>l/v.dia</t>
  </si>
  <si>
    <t>l/v.ano</t>
  </si>
  <si>
    <t>R$/l</t>
  </si>
  <si>
    <t>ITEM</t>
  </si>
  <si>
    <t>UNIDADE</t>
  </si>
  <si>
    <t>VALOR</t>
  </si>
  <si>
    <t>CÁLCULO DA REMUNERAÇÃO DO CAPITAL INVESTIDO EM ANIMAIS</t>
  </si>
  <si>
    <t>CÁLCULO DA REMUNERAÇÃO DO CAPITAL INVESTIDO EM TERRA</t>
  </si>
  <si>
    <t>CÁLCULO DA DEPRECIAÇÃO ANUAL DAS INSTALAÇÕES</t>
  </si>
  <si>
    <t>CÁLCULO DA DEPRECIAÇÃO DE MÁQUINAS E IMPLEMENTOS</t>
  </si>
  <si>
    <t>1.10. Calcário</t>
  </si>
  <si>
    <t>1.13. Outros adubos</t>
  </si>
  <si>
    <t>valor unitário</t>
  </si>
  <si>
    <t xml:space="preserve">(R$) </t>
  </si>
  <si>
    <t>7.1. Custo operacional efetivo (COE)</t>
  </si>
  <si>
    <t>8.2. Custo operacional efetivo (COE)</t>
  </si>
  <si>
    <t>PATRIMÔNIO (R$)</t>
  </si>
  <si>
    <t>(%)</t>
  </si>
  <si>
    <t>Receita</t>
  </si>
  <si>
    <t xml:space="preserve">Período de Referência: </t>
  </si>
  <si>
    <t>UFC/mL*1000</t>
  </si>
  <si>
    <t>Cels/mL*1000</t>
  </si>
  <si>
    <t>6.6. Fluxo de caixa por área</t>
  </si>
  <si>
    <t>6.7. Renda por vaca por dia</t>
  </si>
  <si>
    <t>6.8. Renda por vaca por ano</t>
  </si>
  <si>
    <t>5.5. Leite vendido - média diária</t>
  </si>
  <si>
    <t>Vacas em lactação</t>
  </si>
  <si>
    <t>Vacas secas</t>
  </si>
  <si>
    <t>Vacas no rebanho</t>
  </si>
  <si>
    <t>Média das vacas em lactação</t>
  </si>
  <si>
    <t>Média das vacas do rebanho</t>
  </si>
  <si>
    <t>litros/ha/ano</t>
  </si>
  <si>
    <t>litros/dia</t>
  </si>
  <si>
    <t>Contagem bacteriana total</t>
  </si>
  <si>
    <t>Contagem de células somáticas</t>
  </si>
  <si>
    <t>Vacas em lactação no rebanho</t>
  </si>
  <si>
    <t>Leite produzido</t>
  </si>
  <si>
    <t>Leite vendido</t>
  </si>
  <si>
    <t>Vacas em lactação por ha</t>
  </si>
  <si>
    <t>Leite por Homem por dia</t>
  </si>
  <si>
    <t>Média geral de preços</t>
  </si>
  <si>
    <t>R$/mês</t>
  </si>
  <si>
    <t>1.1. Mão-de-obra permanente</t>
  </si>
  <si>
    <t>1.3. Mão-de-obra temporária</t>
  </si>
  <si>
    <t xml:space="preserve">1.4. Mão-de-obra familiar </t>
  </si>
  <si>
    <t>5.6. Leite consumo interno</t>
  </si>
  <si>
    <t>5.7. Leite consumo bezerros</t>
  </si>
  <si>
    <t>5.8. Leite produzido</t>
  </si>
  <si>
    <t>UFC/ml*1000</t>
  </si>
  <si>
    <t>CCS/ml*1000</t>
  </si>
  <si>
    <t>4.10. Outras atividades agropecuárias</t>
  </si>
  <si>
    <t>2. Despesas com Investimentos</t>
  </si>
  <si>
    <t>3. Despesas com o Sistema</t>
  </si>
  <si>
    <t>Margem bruta (sem remuneração)</t>
  </si>
  <si>
    <t>Margem bruta por ha (sem remuneração)</t>
  </si>
  <si>
    <t>Fluxo de caixa mensal (SOBRA)</t>
  </si>
  <si>
    <t>1ª ANO</t>
  </si>
  <si>
    <t>6.13. Avaliação patrimonial</t>
  </si>
  <si>
    <t>6.14. Índ.var.patrimonial - ano anterior</t>
  </si>
  <si>
    <t>6.15. Índ.var.patrimonial - 1º ano</t>
  </si>
  <si>
    <t>6.16. Despesas custeio/Receita total</t>
  </si>
  <si>
    <t>6.17. Despesas sistema/Receita total</t>
  </si>
  <si>
    <t>6.19. Reais investidos/Vaca do rebanho</t>
  </si>
  <si>
    <t>1.11. Adubos orgânicos</t>
  </si>
  <si>
    <t>4.3. Leite vendido - empresa III</t>
  </si>
  <si>
    <t>5.3. Leite vendido - empresa III</t>
  </si>
  <si>
    <t>6.3. Média de preço - empresa III</t>
  </si>
  <si>
    <t>5.9. Produção diária</t>
  </si>
  <si>
    <t>Produtividade (sem Equivalente-leite)</t>
  </si>
  <si>
    <t>Área da atividade leiteira:</t>
  </si>
  <si>
    <t xml:space="preserve">Área da Atividade Leiteira (ha): </t>
  </si>
  <si>
    <t>Área da atividade leiteira</t>
  </si>
  <si>
    <t>próximo ano</t>
  </si>
  <si>
    <t>valor inicial (R$)</t>
  </si>
  <si>
    <t>mg/dl</t>
  </si>
  <si>
    <t>Vendido (R$/l)</t>
  </si>
  <si>
    <t>Produzido (R$/l)</t>
  </si>
  <si>
    <t>1.12. Ureia</t>
  </si>
  <si>
    <t>7.2. COE - leite vendido</t>
  </si>
  <si>
    <t>7.3. COE com equivalente-leite (EQ-L)</t>
  </si>
  <si>
    <t>7.4. COE com equivalente-leite - leite vendido</t>
  </si>
  <si>
    <t>7.5. Despesas custeio por vaca (reais)</t>
  </si>
  <si>
    <t>7.7. Custo do sistema (CS)</t>
  </si>
  <si>
    <t>7.8. Custo do sistema com EQ-L</t>
  </si>
  <si>
    <t>7.9. Despesas sistema por vaca (reais)</t>
  </si>
  <si>
    <t>7.11. Custo total (CT)</t>
  </si>
  <si>
    <t xml:space="preserve">7.12. Custo total com EQ-L                 </t>
  </si>
  <si>
    <t>7.13. Margem bruta</t>
  </si>
  <si>
    <t>7.14. Margem bruta por área</t>
  </si>
  <si>
    <t>7.15. Margem bruta por vaca</t>
  </si>
  <si>
    <t xml:space="preserve">7.16. Lucro </t>
  </si>
  <si>
    <t xml:space="preserve">7.17. Lucro por área </t>
  </si>
  <si>
    <t>7.18. Lucro por litro</t>
  </si>
  <si>
    <t>7.19. Lucro por vaca por dia</t>
  </si>
  <si>
    <t>7.20. Lucro por vaca por dia (litros)</t>
  </si>
  <si>
    <t>7.21. Lucro por vaca por ano</t>
  </si>
  <si>
    <t>7.22. Lucro por vaca por ano (litros)</t>
  </si>
  <si>
    <t>7.23. Custo variável/Custo total</t>
  </si>
  <si>
    <t>7.24. Custo fixo/Custo total</t>
  </si>
  <si>
    <t>7.25. Taxa de Retorno do Investimento</t>
  </si>
  <si>
    <t>nº/H.dia</t>
  </si>
  <si>
    <t>8.3. COE - leite vendido</t>
  </si>
  <si>
    <t>8.4. COE com equivalente-leite (EQ-L)</t>
  </si>
  <si>
    <t>8.5. COE com equivalente-leite - leite vendido</t>
  </si>
  <si>
    <t>8.6. Despesas custeio por vaca (reais)</t>
  </si>
  <si>
    <t>8.8. Custo do sistema (CS)</t>
  </si>
  <si>
    <t>8.9. Custo do sistema com EQ-L</t>
  </si>
  <si>
    <t>8.10. Despesas sistema por vaca (reais)</t>
  </si>
  <si>
    <t>8.12. Custo total (CT)</t>
  </si>
  <si>
    <t xml:space="preserve">8.13. Custo total com EQ-L                 </t>
  </si>
  <si>
    <t>8.14. Margem bruta</t>
  </si>
  <si>
    <t>8.15. Margem bruta por área</t>
  </si>
  <si>
    <t>8.16. Margem bruta por vaca</t>
  </si>
  <si>
    <t xml:space="preserve">8.17. Lucro </t>
  </si>
  <si>
    <t xml:space="preserve">8.18. Lucro por área </t>
  </si>
  <si>
    <t>8.19. Lucro por litro</t>
  </si>
  <si>
    <t>8.20. Lucro por vaca por dia</t>
  </si>
  <si>
    <t>8.21. Lucro por vaca por dia (litros)</t>
  </si>
  <si>
    <t>8.22. Lucro por vaca por ano</t>
  </si>
  <si>
    <t>8.23. Lucro por vaca por ano (litros)</t>
  </si>
  <si>
    <t>8.24. Custo variável/Custo total</t>
  </si>
  <si>
    <t>8.25. Custo fixo/Custo total</t>
  </si>
  <si>
    <t>8.26. Taxa de Retorno do Investimento</t>
  </si>
  <si>
    <t>8.7. Despesas custeio por vaca (litros)</t>
  </si>
  <si>
    <t>6.18. Reais investidos/Litro produzido por dia</t>
  </si>
  <si>
    <t>R$/litro.dia</t>
  </si>
  <si>
    <t>7.10. Despesas sistema por vaca (litros)</t>
  </si>
  <si>
    <t>7.6. Despesas custeio por vaca (litros)</t>
  </si>
  <si>
    <t>8.11. Despesas sistema por vaca (litros)</t>
  </si>
  <si>
    <t xml:space="preserve">Entrada no Balde Cheio: </t>
  </si>
  <si>
    <t>Produtividade (com Equivalente-leite)</t>
  </si>
  <si>
    <t>Renda bruta</t>
  </si>
  <si>
    <t>R$/ano</t>
  </si>
  <si>
    <t>Despesas com custeio/Receita total</t>
  </si>
  <si>
    <t>Custo operacional efetivo (sem Equivalente-leite e sem remuneração)</t>
  </si>
  <si>
    <t>Custo operacional efetivo (com Equivalente-leite e sem remuneração)</t>
  </si>
  <si>
    <t>Custo operacional efetivo (sem Equivalente-leite e com remuneração)</t>
  </si>
  <si>
    <t>Custo operacional efetivo (com Equivalente-leite e com remuneração)</t>
  </si>
  <si>
    <t>Margem bruta por vaca (sem remuneração)</t>
  </si>
  <si>
    <t>Margem bruta (com remuneração)</t>
  </si>
  <si>
    <t>Margem bruta por ha (com remuneração)</t>
  </si>
  <si>
    <t>Margem bruta por vaca (com remuneração)</t>
  </si>
  <si>
    <t>Taxa de retorno do investimento (sem remuneração)</t>
  </si>
  <si>
    <t>Taxa de retorno do investimento (com remuneração)</t>
  </si>
  <si>
    <t>Distribuidor de adubo/calcário/esterco</t>
  </si>
  <si>
    <t>Ordenhadora mecânica</t>
  </si>
  <si>
    <t>Tanque de expansão (1º)</t>
  </si>
  <si>
    <t>Tanque de expansão (2º)</t>
  </si>
  <si>
    <t xml:space="preserve">Outros </t>
  </si>
  <si>
    <t>Banheiro</t>
  </si>
  <si>
    <t>Casa de empregado (1ª)</t>
  </si>
  <si>
    <t>Casa de empregado (2ª)</t>
  </si>
  <si>
    <t>Bezerreiro</t>
  </si>
  <si>
    <t>Escritório</t>
  </si>
  <si>
    <t>Poço comum</t>
  </si>
  <si>
    <t>Poço semi ou artesiano</t>
  </si>
  <si>
    <t>Silo graneleiro</t>
  </si>
  <si>
    <t>Silo trincheira</t>
  </si>
  <si>
    <t xml:space="preserve">6.9. Depreciação de instalações    </t>
  </si>
  <si>
    <t xml:space="preserve">6.10. Depreciação de máquinas     </t>
  </si>
  <si>
    <t>6.11. Remuneração de capital em animais</t>
  </si>
  <si>
    <t xml:space="preserve">6.12. Remuneração de capital em terra             </t>
  </si>
  <si>
    <t>DC</t>
  </si>
  <si>
    <t>1. Despesas com Custeio (DC)</t>
  </si>
  <si>
    <t>4.9. Receita Total (RT)</t>
  </si>
  <si>
    <t>DC/Leite</t>
  </si>
  <si>
    <t>DIC/RT</t>
  </si>
  <si>
    <t>DIC/DTC</t>
  </si>
  <si>
    <t>1.5. Concentrados protêicos</t>
  </si>
  <si>
    <t>5.10. Relação Leite vendido/Leite Produzido</t>
  </si>
  <si>
    <t>Relação Leite vendido/Leite produzido</t>
  </si>
  <si>
    <t>5.11. Vacas em lactação</t>
  </si>
  <si>
    <t>5.12. Vacas secas</t>
  </si>
  <si>
    <t>5.13. Vacas em lactação</t>
  </si>
  <si>
    <t>5.14. Vacas em lactação por área</t>
  </si>
  <si>
    <t>5.15. Média das vacas em lactação</t>
  </si>
  <si>
    <t>5.16. Média das vacas do rebanho</t>
  </si>
  <si>
    <t>5.19. Bezerros, garrotes e touros</t>
  </si>
  <si>
    <t>5.20. Vacas no rebanho</t>
  </si>
  <si>
    <t>5.21. Vacas em lactação no rebanho</t>
  </si>
  <si>
    <t>5.22. Mão-de-obra (familiar e remunerada)</t>
  </si>
  <si>
    <t>5.23. Leite por Homem por dia</t>
  </si>
  <si>
    <t>5.24. Vacas por Homem por dia</t>
  </si>
  <si>
    <t>5.25. Animais:equivalente leite (EQ-L)</t>
  </si>
  <si>
    <t>5.26. Área arrendada utilizada</t>
  </si>
  <si>
    <t>t</t>
  </si>
  <si>
    <t>5.27. Volumoso comprado - silagem</t>
  </si>
  <si>
    <t>5.28. Área correspondente à silagem comprada</t>
  </si>
  <si>
    <t>5.31. Área própria utilizada</t>
  </si>
  <si>
    <t>5.32. Área total utilizada</t>
  </si>
  <si>
    <t>5.33. Produtividade</t>
  </si>
  <si>
    <t>5.34. Produtividade com EQ-L</t>
  </si>
  <si>
    <t>5.35. Teor de gordura do leite</t>
  </si>
  <si>
    <t>5.36. Teor de proteína do leite</t>
  </si>
  <si>
    <t>5.37. Teor de sólidos totais do leite</t>
  </si>
  <si>
    <t>5.39. Contagem bacteriana total</t>
  </si>
  <si>
    <t>5.40. Contagem de células somáticas</t>
  </si>
  <si>
    <t>5.38. Nitrogênio urêico no leite</t>
  </si>
  <si>
    <t>5.17. Bezerras</t>
  </si>
  <si>
    <t>5.18. Novilhas</t>
  </si>
  <si>
    <t>SOMENTE PREENCHER AS CÉLULAS CUJOS CAMPOS ESTEJAM EM BRANCO</t>
  </si>
  <si>
    <t>ANO BISEXTO - NÃO APAGAR</t>
  </si>
  <si>
    <t>versão BC 07</t>
  </si>
  <si>
    <t>Técnico Responsável:</t>
  </si>
  <si>
    <t>5.29. Volumoso comprado - cana ou feno</t>
  </si>
  <si>
    <t>5.30. Área corresp. à cana ou ao feno comprado</t>
  </si>
  <si>
    <t>ANO ANTERIOR (2017)</t>
  </si>
  <si>
    <t>ANO ATUAL (2018)</t>
  </si>
  <si>
    <t>Proprietário:</t>
  </si>
  <si>
    <t>Município:</t>
  </si>
  <si>
    <t>Propriedade: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</si>
</sst>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mmm"/>
    <numFmt numFmtId="168" formatCode="0.00;;;@"/>
    <numFmt numFmtId="169" formatCode="0;;;@"/>
    <numFmt numFmtId="170" formatCode="0.0;;;@"/>
    <numFmt numFmtId="171" formatCode="#,##0.00000000000"/>
  </numFmts>
  <fonts count="27" x14ac:knownFonts="1">
    <font>
      <sz val="10"/>
      <name val="Arial"/>
    </font>
    <font>
      <sz val="10"/>
      <name val="Arial"/>
      <family val="2"/>
    </font>
    <font>
      <b/>
      <sz val="11"/>
      <name val="Arial"/>
      <family val="2"/>
    </font>
    <font>
      <b/>
      <sz val="10"/>
      <name val="Arial"/>
      <family val="2"/>
    </font>
    <font>
      <sz val="10"/>
      <name val="Arial"/>
      <family val="2"/>
    </font>
    <font>
      <sz val="9"/>
      <name val="Arial"/>
      <family val="2"/>
    </font>
    <font>
      <sz val="8"/>
      <name val="Arial"/>
      <family val="2"/>
    </font>
    <font>
      <sz val="9"/>
      <name val="Arial"/>
      <family val="2"/>
    </font>
    <font>
      <b/>
      <sz val="9"/>
      <name val="Arial"/>
      <family val="2"/>
    </font>
    <font>
      <sz val="7"/>
      <name val="Arial"/>
      <family val="2"/>
    </font>
    <font>
      <b/>
      <sz val="10"/>
      <color indexed="10"/>
      <name val="Arial"/>
      <family val="2"/>
    </font>
    <font>
      <b/>
      <sz val="9"/>
      <color indexed="10"/>
      <name val="Arial"/>
      <family val="2"/>
    </font>
    <font>
      <b/>
      <sz val="8"/>
      <name val="Arial"/>
      <family val="2"/>
    </font>
    <font>
      <sz val="9"/>
      <color indexed="8"/>
      <name val="Arial"/>
      <family val="2"/>
    </font>
    <font>
      <b/>
      <sz val="12"/>
      <name val="Arial"/>
      <family val="2"/>
    </font>
    <font>
      <sz val="10"/>
      <color indexed="8"/>
      <name val="Arial"/>
      <family val="2"/>
    </font>
    <font>
      <sz val="8"/>
      <color indexed="81"/>
      <name val="Tahoma"/>
      <family val="2"/>
    </font>
    <font>
      <b/>
      <sz val="8"/>
      <color indexed="81"/>
      <name val="Tahoma"/>
      <family val="2"/>
    </font>
    <font>
      <sz val="12"/>
      <name val="Arial"/>
      <family val="2"/>
    </font>
    <font>
      <b/>
      <i/>
      <sz val="8"/>
      <name val="Arial"/>
      <family val="2"/>
    </font>
    <font>
      <sz val="9"/>
      <color indexed="81"/>
      <name val="Tahoma"/>
      <family val="2"/>
    </font>
    <font>
      <b/>
      <i/>
      <sz val="10"/>
      <name val="Arial"/>
      <family val="2"/>
    </font>
    <font>
      <b/>
      <sz val="8"/>
      <color indexed="81"/>
      <name val="Arial"/>
      <family val="2"/>
    </font>
    <font>
      <sz val="8"/>
      <color indexed="81"/>
      <name val="Arial"/>
      <family val="2"/>
    </font>
    <font>
      <b/>
      <sz val="24"/>
      <name val="Arial"/>
      <family val="2"/>
    </font>
    <font>
      <b/>
      <sz val="9"/>
      <color indexed="8"/>
      <name val="Arial"/>
      <family val="2"/>
    </font>
    <font>
      <sz val="7"/>
      <color rgb="FFFF0000"/>
      <name val="Arial"/>
      <family val="2"/>
    </font>
  </fonts>
  <fills count="10">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22"/>
        <bgColor indexed="64"/>
      </patternFill>
    </fill>
    <fill>
      <patternFill patternType="solid">
        <fgColor theme="0"/>
        <bgColor indexed="64"/>
      </patternFill>
    </fill>
    <fill>
      <patternFill patternType="solid">
        <fgColor theme="2" tint="-9.9978637043366805E-2"/>
        <bgColor indexed="64"/>
      </patternFill>
    </fill>
    <fill>
      <patternFill patternType="solid">
        <fgColor rgb="FF00CCFF"/>
        <bgColor indexed="64"/>
      </patternFill>
    </fill>
    <fill>
      <patternFill patternType="solid">
        <fgColor rgb="FFFFFF99"/>
        <bgColor indexed="64"/>
      </patternFill>
    </fill>
    <fill>
      <patternFill patternType="solid">
        <fgColor rgb="FFFFFFCC"/>
        <bgColor indexed="64"/>
      </patternFill>
    </fill>
  </fills>
  <borders count="66">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22"/>
      </bottom>
      <diagonal/>
    </border>
    <border>
      <left style="thin">
        <color indexed="64"/>
      </left>
      <right style="thin">
        <color indexed="64"/>
      </right>
      <top style="thin">
        <color indexed="64"/>
      </top>
      <bottom style="hair">
        <color indexed="22"/>
      </bottom>
      <diagonal/>
    </border>
    <border>
      <left style="thin">
        <color indexed="64"/>
      </left>
      <right style="thin">
        <color indexed="64"/>
      </right>
      <top style="hair">
        <color indexed="22"/>
      </top>
      <bottom style="hair">
        <color indexed="22"/>
      </bottom>
      <diagonal/>
    </border>
    <border>
      <left style="thin">
        <color indexed="64"/>
      </left>
      <right/>
      <top style="hair">
        <color indexed="22"/>
      </top>
      <bottom style="hair">
        <color indexed="22"/>
      </bottom>
      <diagonal/>
    </border>
    <border>
      <left/>
      <right/>
      <top style="thin">
        <color indexed="64"/>
      </top>
      <bottom style="hair">
        <color indexed="22"/>
      </bottom>
      <diagonal/>
    </border>
    <border>
      <left/>
      <right/>
      <top style="hair">
        <color indexed="22"/>
      </top>
      <bottom style="hair">
        <color indexed="22"/>
      </bottom>
      <diagonal/>
    </border>
    <border>
      <left style="thin">
        <color indexed="64"/>
      </left>
      <right style="thin">
        <color indexed="64"/>
      </right>
      <top style="hair">
        <color indexed="22"/>
      </top>
      <bottom style="thin">
        <color indexed="64"/>
      </bottom>
      <diagonal/>
    </border>
    <border>
      <left style="thin">
        <color indexed="64"/>
      </left>
      <right style="thin">
        <color indexed="64"/>
      </right>
      <top/>
      <bottom style="hair">
        <color indexed="22"/>
      </bottom>
      <diagonal/>
    </border>
    <border>
      <left/>
      <right/>
      <top style="hair">
        <color indexed="22"/>
      </top>
      <bottom/>
      <diagonal/>
    </border>
    <border>
      <left/>
      <right/>
      <top/>
      <bottom style="hair">
        <color indexed="2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22"/>
      </top>
      <bottom/>
      <diagonal/>
    </border>
    <border>
      <left style="thin">
        <color indexed="64"/>
      </left>
      <right style="thin">
        <color indexed="64"/>
      </right>
      <top style="hair">
        <color indexed="64"/>
      </top>
      <bottom style="hair">
        <color indexed="64"/>
      </bottom>
      <diagonal/>
    </border>
    <border>
      <left/>
      <right style="thin">
        <color indexed="64"/>
      </right>
      <top style="hair">
        <color indexed="22"/>
      </top>
      <bottom style="hair">
        <color indexed="22"/>
      </bottom>
      <diagonal/>
    </border>
    <border>
      <left/>
      <right/>
      <top style="thin">
        <color indexed="64"/>
      </top>
      <bottom style="thin">
        <color indexed="64"/>
      </bottom>
      <diagonal/>
    </border>
    <border>
      <left/>
      <right style="thin">
        <color indexed="64"/>
      </right>
      <top style="hair">
        <color indexed="22"/>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22"/>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22"/>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2">
    <xf numFmtId="0" fontId="0" fillId="0" borderId="0"/>
    <xf numFmtId="9" fontId="1" fillId="0" borderId="0" applyFont="0" applyFill="0" applyBorder="0" applyAlignment="0" applyProtection="0"/>
  </cellStyleXfs>
  <cellXfs count="423">
    <xf numFmtId="0" fontId="0" fillId="0" borderId="0" xfId="0"/>
    <xf numFmtId="0" fontId="0" fillId="2" borderId="0" xfId="0" applyFill="1" applyProtection="1">
      <protection locked="0"/>
    </xf>
    <xf numFmtId="0" fontId="1" fillId="2" borderId="0" xfId="0" applyFont="1" applyFill="1" applyProtection="1">
      <protection locked="0"/>
    </xf>
    <xf numFmtId="0" fontId="0" fillId="2" borderId="0" xfId="0" applyFill="1" applyProtection="1"/>
    <xf numFmtId="0" fontId="0" fillId="2" borderId="0" xfId="0" applyFill="1" applyBorder="1" applyProtection="1"/>
    <xf numFmtId="0" fontId="1" fillId="2" borderId="0" xfId="0" applyFont="1" applyFill="1" applyBorder="1" applyProtection="1"/>
    <xf numFmtId="0" fontId="0" fillId="0" borderId="0" xfId="0" applyNumberFormat="1" applyProtection="1"/>
    <xf numFmtId="164" fontId="3" fillId="0" borderId="0" xfId="0" applyNumberFormat="1" applyFont="1" applyAlignment="1" applyProtection="1">
      <alignment horizontal="center"/>
    </xf>
    <xf numFmtId="0" fontId="0" fillId="2" borderId="0" xfId="0" applyFill="1" applyAlignment="1" applyProtection="1">
      <alignment horizontal="center"/>
    </xf>
    <xf numFmtId="0" fontId="0" fillId="0" borderId="0" xfId="0" applyAlignment="1">
      <alignment horizontal="center" vertical="center"/>
    </xf>
    <xf numFmtId="0" fontId="1" fillId="2" borderId="0" xfId="0" applyFont="1" applyFill="1" applyAlignment="1" applyProtection="1">
      <alignment horizontal="center" vertical="center"/>
    </xf>
    <xf numFmtId="0" fontId="5" fillId="2" borderId="9" xfId="0" applyFont="1" applyFill="1" applyBorder="1" applyAlignment="1" applyProtection="1">
      <alignment horizontal="left" vertical="center"/>
    </xf>
    <xf numFmtId="4" fontId="6" fillId="0" borderId="10" xfId="0" applyNumberFormat="1" applyFont="1" applyFill="1" applyBorder="1" applyAlignment="1" applyProtection="1">
      <alignment horizontal="center" vertical="center"/>
    </xf>
    <xf numFmtId="0" fontId="0" fillId="2" borderId="0" xfId="0" applyFill="1" applyAlignment="1" applyProtection="1">
      <alignment vertical="center"/>
    </xf>
    <xf numFmtId="4" fontId="9" fillId="0" borderId="11" xfId="0" applyNumberFormat="1" applyFont="1" applyFill="1" applyBorder="1" applyAlignment="1" applyProtection="1">
      <alignment horizontal="center" vertical="center"/>
      <protection locked="0"/>
    </xf>
    <xf numFmtId="0" fontId="5" fillId="2" borderId="12" xfId="0" applyFont="1" applyFill="1" applyBorder="1" applyAlignment="1" applyProtection="1">
      <alignment horizontal="left" vertical="center"/>
    </xf>
    <xf numFmtId="4" fontId="6" fillId="0" borderId="11" xfId="0" applyNumberFormat="1" applyFont="1" applyFill="1" applyBorder="1" applyAlignment="1" applyProtection="1">
      <alignment horizontal="center" vertical="center"/>
    </xf>
    <xf numFmtId="4" fontId="9" fillId="0" borderId="16" xfId="0" applyNumberFormat="1" applyFont="1" applyFill="1" applyBorder="1" applyAlignment="1" applyProtection="1">
      <alignment horizontal="center" vertical="center"/>
      <protection locked="0"/>
    </xf>
    <xf numFmtId="0" fontId="5" fillId="2" borderId="12" xfId="0" applyFont="1" applyFill="1" applyBorder="1" applyAlignment="1" applyProtection="1">
      <alignment vertical="center"/>
    </xf>
    <xf numFmtId="0" fontId="0" fillId="2" borderId="0" xfId="0" applyFill="1" applyAlignment="1" applyProtection="1">
      <alignment vertical="center"/>
      <protection locked="0"/>
    </xf>
    <xf numFmtId="0" fontId="5" fillId="0" borderId="10" xfId="0" applyFont="1" applyBorder="1" applyAlignment="1" applyProtection="1">
      <alignment horizontal="left" vertical="center"/>
    </xf>
    <xf numFmtId="0" fontId="5" fillId="0" borderId="11" xfId="0" applyFont="1" applyBorder="1" applyAlignment="1" applyProtection="1">
      <alignment horizontal="left" vertical="center"/>
    </xf>
    <xf numFmtId="0" fontId="5" fillId="0" borderId="8" xfId="0" applyFont="1" applyBorder="1" applyAlignment="1" applyProtection="1">
      <alignment horizontal="left" vertical="center"/>
    </xf>
    <xf numFmtId="0" fontId="6" fillId="0" borderId="8" xfId="0" applyFont="1" applyBorder="1" applyAlignment="1" applyProtection="1">
      <alignment horizontal="center" vertical="center"/>
    </xf>
    <xf numFmtId="0" fontId="6" fillId="0" borderId="10" xfId="0" applyFont="1" applyBorder="1" applyAlignment="1" applyProtection="1">
      <alignment horizontal="center" vertical="center"/>
    </xf>
    <xf numFmtId="3" fontId="9" fillId="0" borderId="10" xfId="0" applyNumberFormat="1" applyFont="1" applyFill="1" applyBorder="1" applyAlignment="1" applyProtection="1">
      <alignment horizontal="center" vertical="center"/>
      <protection locked="0"/>
    </xf>
    <xf numFmtId="0" fontId="6" fillId="0" borderId="11" xfId="0" applyFont="1" applyBorder="1" applyAlignment="1" applyProtection="1">
      <alignment horizontal="center" vertical="center"/>
    </xf>
    <xf numFmtId="3" fontId="9" fillId="0" borderId="16" xfId="0" applyNumberFormat="1" applyFont="1" applyFill="1" applyBorder="1" applyAlignment="1" applyProtection="1">
      <alignment horizontal="center" vertical="center"/>
      <protection locked="0"/>
    </xf>
    <xf numFmtId="3" fontId="9" fillId="0" borderId="11" xfId="0" applyNumberFormat="1" applyFont="1" applyBorder="1" applyAlignment="1" applyProtection="1">
      <alignment horizontal="center" vertical="center"/>
      <protection locked="0"/>
    </xf>
    <xf numFmtId="1" fontId="9" fillId="2" borderId="11" xfId="0" applyNumberFormat="1" applyFont="1" applyFill="1" applyBorder="1" applyAlignment="1" applyProtection="1">
      <alignment horizontal="center" vertical="center"/>
    </xf>
    <xf numFmtId="164" fontId="9" fillId="2" borderId="11" xfId="0" applyNumberFormat="1" applyFont="1" applyFill="1" applyBorder="1" applyAlignment="1" applyProtection="1">
      <alignment horizontal="center" vertical="center"/>
    </xf>
    <xf numFmtId="0" fontId="5" fillId="0" borderId="20" xfId="0" applyFont="1" applyBorder="1" applyAlignment="1" applyProtection="1">
      <alignment horizontal="left" vertical="center"/>
    </xf>
    <xf numFmtId="0" fontId="6" fillId="0" borderId="20" xfId="0" applyFont="1" applyBorder="1" applyAlignment="1" applyProtection="1">
      <alignment horizontal="center" vertical="center"/>
    </xf>
    <xf numFmtId="165" fontId="9" fillId="0" borderId="11" xfId="0" applyNumberFormat="1" applyFont="1" applyFill="1" applyBorder="1" applyAlignment="1" applyProtection="1">
      <alignment horizontal="center" vertical="center"/>
      <protection locked="0"/>
    </xf>
    <xf numFmtId="3" fontId="9" fillId="0" borderId="11" xfId="0" applyNumberFormat="1" applyFont="1" applyFill="1" applyBorder="1" applyAlignment="1" applyProtection="1">
      <alignment horizontal="center" vertical="center"/>
      <protection locked="0"/>
    </xf>
    <xf numFmtId="0" fontId="5" fillId="0" borderId="15" xfId="0" applyFont="1" applyBorder="1" applyAlignment="1" applyProtection="1">
      <alignment horizontal="left" vertical="center"/>
    </xf>
    <xf numFmtId="3" fontId="9" fillId="0" borderId="15" xfId="0" applyNumberFormat="1" applyFont="1" applyFill="1" applyBorder="1" applyAlignment="1" applyProtection="1">
      <alignment horizontal="center" vertical="center"/>
      <protection locked="0"/>
    </xf>
    <xf numFmtId="164" fontId="3" fillId="0" borderId="0" xfId="0" applyNumberFormat="1" applyFont="1" applyAlignment="1" applyProtection="1">
      <alignment horizontal="center" vertical="center"/>
    </xf>
    <xf numFmtId="0" fontId="0" fillId="2" borderId="0" xfId="0" applyFill="1" applyBorder="1" applyAlignment="1" applyProtection="1">
      <alignment vertical="center"/>
    </xf>
    <xf numFmtId="1" fontId="0" fillId="2" borderId="0" xfId="0" applyNumberFormat="1" applyFill="1" applyAlignment="1" applyProtection="1">
      <alignment horizontal="center" vertical="center"/>
    </xf>
    <xf numFmtId="0" fontId="7" fillId="2" borderId="0" xfId="0" applyFont="1" applyFill="1" applyAlignment="1" applyProtection="1">
      <alignment vertical="center"/>
    </xf>
    <xf numFmtId="17" fontId="5"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6" fillId="2" borderId="0" xfId="0" applyFont="1" applyFill="1" applyBorder="1" applyAlignment="1" applyProtection="1">
      <alignment horizontal="center" vertical="center"/>
    </xf>
    <xf numFmtId="2" fontId="5" fillId="2" borderId="0" xfId="0" applyNumberFormat="1" applyFont="1" applyFill="1" applyBorder="1" applyAlignment="1" applyProtection="1">
      <alignment horizontal="center" vertical="center"/>
    </xf>
    <xf numFmtId="165" fontId="5" fillId="2" borderId="0" xfId="0" applyNumberFormat="1" applyFont="1" applyFill="1" applyBorder="1" applyAlignment="1" applyProtection="1">
      <alignment horizontal="center" vertical="center"/>
    </xf>
    <xf numFmtId="4" fontId="4" fillId="2" borderId="0" xfId="0" applyNumberFormat="1" applyFont="1" applyFill="1" applyBorder="1" applyAlignment="1" applyProtection="1">
      <alignment horizontal="center" vertical="center"/>
    </xf>
    <xf numFmtId="1" fontId="0" fillId="2" borderId="19" xfId="0" applyNumberFormat="1" applyFill="1" applyBorder="1" applyAlignment="1">
      <alignment horizontal="center" vertical="center"/>
    </xf>
    <xf numFmtId="4" fontId="0" fillId="2" borderId="19" xfId="0" applyNumberFormat="1" applyFill="1" applyBorder="1" applyAlignment="1" applyProtection="1">
      <alignment horizontal="center" vertical="center"/>
      <protection locked="0"/>
    </xf>
    <xf numFmtId="1" fontId="0" fillId="2" borderId="21" xfId="0" applyNumberFormat="1" applyFill="1" applyBorder="1" applyAlignment="1">
      <alignment horizontal="center" vertical="center"/>
    </xf>
    <xf numFmtId="4" fontId="0" fillId="2" borderId="21" xfId="0" applyNumberFormat="1" applyFill="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3" fontId="1" fillId="2" borderId="2" xfId="0" applyNumberFormat="1" applyFont="1" applyFill="1" applyBorder="1" applyAlignment="1" applyProtection="1">
      <alignment horizontal="center" vertical="center"/>
      <protection locked="0"/>
    </xf>
    <xf numFmtId="3" fontId="1" fillId="2" borderId="41" xfId="0" applyNumberFormat="1" applyFont="1" applyFill="1" applyBorder="1" applyAlignment="1" applyProtection="1">
      <alignment horizontal="center" vertical="center"/>
      <protection locked="0"/>
    </xf>
    <xf numFmtId="4" fontId="1" fillId="2" borderId="21" xfId="0" applyNumberFormat="1" applyFont="1" applyFill="1" applyBorder="1" applyAlignment="1" applyProtection="1">
      <alignment horizontal="center" vertical="center"/>
      <protection locked="0"/>
    </xf>
    <xf numFmtId="3" fontId="15" fillId="2" borderId="21" xfId="0" applyNumberFormat="1" applyFont="1" applyFill="1" applyBorder="1" applyAlignment="1" applyProtection="1">
      <alignment horizontal="center" vertical="center"/>
      <protection locked="0"/>
    </xf>
    <xf numFmtId="3" fontId="1" fillId="2" borderId="18" xfId="0" applyNumberFormat="1" applyFont="1" applyFill="1" applyBorder="1" applyAlignment="1" applyProtection="1">
      <alignment horizontal="center" vertical="center"/>
      <protection locked="0"/>
    </xf>
    <xf numFmtId="0" fontId="3" fillId="2" borderId="0" xfId="0" applyFont="1" applyFill="1" applyAlignment="1" applyProtection="1">
      <alignment vertical="center"/>
    </xf>
    <xf numFmtId="0" fontId="0" fillId="0" borderId="0" xfId="0" applyAlignment="1">
      <alignment vertical="center"/>
    </xf>
    <xf numFmtId="3" fontId="1" fillId="2" borderId="21" xfId="0" applyNumberFormat="1" applyFont="1" applyFill="1" applyBorder="1" applyAlignment="1" applyProtection="1">
      <alignment horizontal="center" vertical="center"/>
      <protection locked="0"/>
    </xf>
    <xf numFmtId="3" fontId="1" fillId="2" borderId="5" xfId="0" applyNumberFormat="1" applyFont="1" applyFill="1" applyBorder="1" applyAlignment="1" applyProtection="1">
      <alignment horizontal="center" vertical="center"/>
      <protection locked="0"/>
    </xf>
    <xf numFmtId="164" fontId="0" fillId="2" borderId="6" xfId="0" applyNumberFormat="1" applyFill="1" applyBorder="1" applyAlignment="1" applyProtection="1">
      <alignment horizontal="center" vertical="center"/>
      <protection locked="0"/>
    </xf>
    <xf numFmtId="4" fontId="0" fillId="2" borderId="6" xfId="0" applyNumberForma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0" fillId="0" borderId="0" xfId="0" applyNumberFormat="1" applyAlignment="1" applyProtection="1">
      <alignment vertical="center"/>
    </xf>
    <xf numFmtId="0" fontId="14" fillId="4" borderId="31" xfId="0" applyFont="1" applyFill="1" applyBorder="1" applyAlignment="1" applyProtection="1">
      <alignment horizontal="center" vertical="center"/>
    </xf>
    <xf numFmtId="0" fontId="14" fillId="4" borderId="32" xfId="0" applyFont="1" applyFill="1" applyBorder="1" applyAlignment="1" applyProtection="1">
      <alignment horizontal="center" vertical="center"/>
    </xf>
    <xf numFmtId="0" fontId="14" fillId="4" borderId="33" xfId="0" applyFont="1" applyFill="1" applyBorder="1" applyAlignment="1" applyProtection="1">
      <alignment horizontal="center" vertical="center"/>
    </xf>
    <xf numFmtId="0" fontId="3" fillId="2" borderId="0" xfId="0" applyFont="1" applyFill="1" applyAlignment="1" applyProtection="1">
      <alignment horizontal="center" vertical="center"/>
    </xf>
    <xf numFmtId="0" fontId="14" fillId="5" borderId="34" xfId="0" applyFont="1" applyFill="1" applyBorder="1" applyAlignment="1" applyProtection="1">
      <alignment vertical="center"/>
    </xf>
    <xf numFmtId="0" fontId="18" fillId="5" borderId="6" xfId="0" applyFont="1" applyFill="1" applyBorder="1" applyAlignment="1" applyProtection="1">
      <alignment horizontal="center" vertical="center"/>
    </xf>
    <xf numFmtId="165" fontId="14" fillId="5" borderId="35" xfId="0" applyNumberFormat="1" applyFont="1" applyFill="1" applyBorder="1" applyAlignment="1" applyProtection="1">
      <alignment horizontal="center" vertical="center"/>
    </xf>
    <xf numFmtId="3" fontId="14" fillId="5" borderId="35" xfId="0" applyNumberFormat="1" applyFont="1" applyFill="1" applyBorder="1" applyAlignment="1" applyProtection="1">
      <alignment horizontal="center" vertical="center"/>
    </xf>
    <xf numFmtId="164" fontId="9" fillId="0" borderId="11" xfId="0" applyNumberFormat="1" applyFont="1" applyFill="1" applyBorder="1" applyAlignment="1" applyProtection="1">
      <alignment horizontal="center" vertical="center"/>
      <protection locked="0"/>
    </xf>
    <xf numFmtId="0" fontId="1" fillId="2" borderId="0" xfId="0" applyFont="1" applyFill="1" applyAlignment="1" applyProtection="1">
      <alignment vertical="center"/>
    </xf>
    <xf numFmtId="0" fontId="5" fillId="2" borderId="0" xfId="0" applyFont="1" applyFill="1" applyProtection="1"/>
    <xf numFmtId="4" fontId="9" fillId="0" borderId="5" xfId="0" applyNumberFormat="1" applyFont="1" applyFill="1" applyBorder="1" applyAlignment="1" applyProtection="1">
      <alignment horizontal="center" vertical="center"/>
      <protection locked="0"/>
    </xf>
    <xf numFmtId="0" fontId="1" fillId="2" borderId="0" xfId="0" applyFont="1" applyFill="1" applyProtection="1"/>
    <xf numFmtId="1" fontId="14" fillId="3" borderId="6" xfId="0" applyNumberFormat="1"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0" fillId="5" borderId="0" xfId="0" applyFill="1" applyBorder="1" applyAlignment="1" applyProtection="1">
      <alignment vertical="center"/>
    </xf>
    <xf numFmtId="0" fontId="14" fillId="2" borderId="0" xfId="0" applyFont="1" applyFill="1" applyAlignment="1" applyProtection="1">
      <alignment vertical="center"/>
    </xf>
    <xf numFmtId="0" fontId="21" fillId="2" borderId="0" xfId="0" applyFont="1" applyFill="1" applyBorder="1" applyAlignment="1" applyProtection="1">
      <alignment horizontal="center" vertical="center"/>
    </xf>
    <xf numFmtId="3" fontId="1" fillId="2" borderId="37" xfId="0" applyNumberFormat="1" applyFont="1" applyFill="1" applyBorder="1" applyAlignment="1" applyProtection="1">
      <alignment horizontal="center" vertical="center"/>
      <protection locked="0"/>
    </xf>
    <xf numFmtId="0" fontId="1" fillId="2" borderId="36" xfId="0" applyFont="1" applyFill="1" applyBorder="1" applyAlignment="1" applyProtection="1">
      <alignment horizontal="left" vertical="center"/>
      <protection locked="0"/>
    </xf>
    <xf numFmtId="0" fontId="1" fillId="2" borderId="40" xfId="0" applyFont="1" applyFill="1" applyBorder="1" applyAlignment="1" applyProtection="1">
      <alignment horizontal="left" vertical="center"/>
      <protection locked="0"/>
    </xf>
    <xf numFmtId="3" fontId="15" fillId="2" borderId="41" xfId="0" applyNumberFormat="1" applyFont="1" applyFill="1" applyBorder="1" applyAlignment="1" applyProtection="1">
      <alignment horizontal="center" vertical="center"/>
      <protection locked="0"/>
    </xf>
    <xf numFmtId="0" fontId="1" fillId="2" borderId="41" xfId="0" applyFont="1" applyFill="1" applyBorder="1" applyAlignment="1" applyProtection="1">
      <alignment horizontal="left" vertical="center"/>
      <protection locked="0"/>
    </xf>
    <xf numFmtId="0" fontId="14" fillId="0" borderId="34" xfId="0" applyFont="1" applyFill="1" applyBorder="1" applyAlignment="1" applyProtection="1">
      <alignment vertical="center"/>
    </xf>
    <xf numFmtId="0" fontId="18" fillId="0" borderId="6" xfId="0" applyFont="1" applyFill="1" applyBorder="1" applyAlignment="1" applyProtection="1">
      <alignment horizontal="center" vertical="center"/>
    </xf>
    <xf numFmtId="3" fontId="14" fillId="0" borderId="35" xfId="0" applyNumberFormat="1" applyFont="1" applyFill="1" applyBorder="1" applyAlignment="1" applyProtection="1">
      <alignment horizontal="center" vertical="center"/>
    </xf>
    <xf numFmtId="165" fontId="14" fillId="0" borderId="35" xfId="0" applyNumberFormat="1" applyFont="1" applyFill="1" applyBorder="1" applyAlignment="1" applyProtection="1">
      <alignment horizontal="center" vertical="center"/>
    </xf>
    <xf numFmtId="0" fontId="14" fillId="0" borderId="48" xfId="0" applyFont="1" applyFill="1" applyBorder="1" applyAlignment="1" applyProtection="1">
      <alignment vertical="center"/>
    </xf>
    <xf numFmtId="0" fontId="18" fillId="0" borderId="1" xfId="0" applyFont="1" applyFill="1" applyBorder="1" applyAlignment="1" applyProtection="1">
      <alignment horizontal="center" vertical="center"/>
    </xf>
    <xf numFmtId="3" fontId="14" fillId="0" borderId="49" xfId="0" applyNumberFormat="1" applyFont="1" applyFill="1" applyBorder="1" applyAlignment="1" applyProtection="1">
      <alignment horizontal="center" vertical="center"/>
    </xf>
    <xf numFmtId="3" fontId="14" fillId="0" borderId="50" xfId="0" applyNumberFormat="1" applyFont="1" applyFill="1" applyBorder="1" applyAlignment="1" applyProtection="1">
      <alignment horizontal="center" vertical="center"/>
    </xf>
    <xf numFmtId="0" fontId="14" fillId="0" borderId="51" xfId="0" applyFont="1" applyFill="1" applyBorder="1" applyAlignment="1" applyProtection="1">
      <alignment vertical="center"/>
    </xf>
    <xf numFmtId="0" fontId="18" fillId="0" borderId="5" xfId="0" applyFont="1" applyFill="1" applyBorder="1" applyAlignment="1" applyProtection="1">
      <alignment horizontal="center" vertical="center"/>
    </xf>
    <xf numFmtId="4" fontId="14" fillId="0" borderId="35" xfId="0" applyNumberFormat="1" applyFont="1" applyFill="1" applyBorder="1" applyAlignment="1" applyProtection="1">
      <alignment horizontal="center" vertical="center"/>
    </xf>
    <xf numFmtId="0" fontId="14" fillId="0" borderId="52" xfId="0" applyFont="1" applyFill="1" applyBorder="1" applyAlignment="1" applyProtection="1">
      <alignment vertical="center"/>
    </xf>
    <xf numFmtId="0" fontId="14" fillId="0" borderId="53" xfId="0" applyFont="1" applyFill="1" applyBorder="1" applyAlignment="1" applyProtection="1">
      <alignment horizontal="center" vertical="center"/>
    </xf>
    <xf numFmtId="4" fontId="14" fillId="0" borderId="57" xfId="0" applyNumberFormat="1" applyFont="1" applyFill="1" applyBorder="1" applyAlignment="1" applyProtection="1">
      <alignment horizontal="center" vertical="center"/>
    </xf>
    <xf numFmtId="165" fontId="9" fillId="0" borderId="29" xfId="0" applyNumberFormat="1" applyFont="1" applyFill="1" applyBorder="1" applyAlignment="1" applyProtection="1">
      <alignment horizontal="center" vertical="center"/>
      <protection locked="0"/>
    </xf>
    <xf numFmtId="0" fontId="9" fillId="0" borderId="20" xfId="0" applyFont="1" applyBorder="1" applyAlignment="1" applyProtection="1">
      <alignment horizontal="center" vertical="center"/>
    </xf>
    <xf numFmtId="0" fontId="9" fillId="0" borderId="15" xfId="0" applyFont="1" applyBorder="1" applyAlignment="1" applyProtection="1">
      <alignment horizontal="center" vertical="center"/>
    </xf>
    <xf numFmtId="4" fontId="3" fillId="6" borderId="6" xfId="0" applyNumberFormat="1" applyFont="1" applyFill="1" applyBorder="1" applyAlignment="1" applyProtection="1">
      <alignment horizontal="center" vertical="center"/>
    </xf>
    <xf numFmtId="0" fontId="8" fillId="6" borderId="5" xfId="0" applyFont="1" applyFill="1" applyBorder="1" applyAlignment="1" applyProtection="1">
      <alignment horizontal="center"/>
    </xf>
    <xf numFmtId="0" fontId="8" fillId="6" borderId="1" xfId="0" applyFont="1" applyFill="1" applyBorder="1" applyAlignment="1" applyProtection="1">
      <alignment horizontal="center"/>
    </xf>
    <xf numFmtId="0" fontId="3" fillId="6" borderId="25" xfId="0" applyFont="1" applyFill="1" applyBorder="1" applyAlignment="1" applyProtection="1">
      <alignment horizontal="center" vertical="center"/>
    </xf>
    <xf numFmtId="0" fontId="8" fillId="6" borderId="1" xfId="0" applyFont="1" applyFill="1" applyBorder="1" applyAlignment="1" applyProtection="1">
      <alignment horizontal="center" vertical="center"/>
    </xf>
    <xf numFmtId="0" fontId="3" fillId="6" borderId="26" xfId="0" applyFont="1" applyFill="1" applyBorder="1" applyAlignment="1" applyProtection="1">
      <alignment horizontal="center"/>
    </xf>
    <xf numFmtId="0" fontId="8" fillId="6" borderId="5" xfId="0" applyFont="1" applyFill="1" applyBorder="1" applyAlignment="1" applyProtection="1">
      <alignment horizontal="center" vertical="center"/>
    </xf>
    <xf numFmtId="4" fontId="5" fillId="6" borderId="20" xfId="0" applyNumberFormat="1" applyFont="1" applyFill="1" applyBorder="1" applyAlignment="1" applyProtection="1">
      <alignment horizontal="center" vertical="center"/>
      <protection locked="0"/>
    </xf>
    <xf numFmtId="4" fontId="5" fillId="6" borderId="1" xfId="0" applyNumberFormat="1" applyFont="1" applyFill="1" applyBorder="1" applyAlignment="1" applyProtection="1">
      <alignment horizontal="center" vertical="center"/>
    </xf>
    <xf numFmtId="4" fontId="5" fillId="6" borderId="1" xfId="0" applyNumberFormat="1" applyFont="1" applyFill="1" applyBorder="1" applyAlignment="1" applyProtection="1">
      <alignment horizontal="center" vertical="center"/>
      <protection locked="0"/>
    </xf>
    <xf numFmtId="2" fontId="5" fillId="6" borderId="1" xfId="0" applyNumberFormat="1" applyFont="1" applyFill="1" applyBorder="1" applyAlignment="1" applyProtection="1">
      <alignment horizontal="center" vertical="center"/>
    </xf>
    <xf numFmtId="2" fontId="5" fillId="6" borderId="25" xfId="0" applyNumberFormat="1" applyFont="1" applyFill="1" applyBorder="1" applyAlignment="1" applyProtection="1">
      <alignment horizontal="center" vertical="center"/>
    </xf>
    <xf numFmtId="4" fontId="5" fillId="6" borderId="21" xfId="0" applyNumberFormat="1" applyFont="1" applyFill="1" applyBorder="1" applyAlignment="1" applyProtection="1">
      <alignment horizontal="center" vertical="center"/>
      <protection locked="0"/>
    </xf>
    <xf numFmtId="4" fontId="5" fillId="6" borderId="21" xfId="0" applyNumberFormat="1" applyFont="1" applyFill="1" applyBorder="1" applyAlignment="1" applyProtection="1">
      <alignment horizontal="center" vertical="center"/>
    </xf>
    <xf numFmtId="2" fontId="5" fillId="6" borderId="21" xfId="0" applyNumberFormat="1" applyFont="1" applyFill="1" applyBorder="1" applyAlignment="1" applyProtection="1">
      <alignment horizontal="center" vertical="center"/>
    </xf>
    <xf numFmtId="2" fontId="5" fillId="6" borderId="40" xfId="0" applyNumberFormat="1" applyFont="1" applyFill="1" applyBorder="1" applyAlignment="1" applyProtection="1">
      <alignment horizontal="center" vertical="center"/>
    </xf>
    <xf numFmtId="4" fontId="5" fillId="6" borderId="37" xfId="0" applyNumberFormat="1" applyFont="1" applyFill="1" applyBorder="1" applyAlignment="1" applyProtection="1">
      <alignment horizontal="center" vertical="center"/>
      <protection locked="0"/>
    </xf>
    <xf numFmtId="4" fontId="5" fillId="6" borderId="37" xfId="0" applyNumberFormat="1" applyFont="1" applyFill="1" applyBorder="1" applyAlignment="1" applyProtection="1">
      <alignment horizontal="center" vertical="center"/>
    </xf>
    <xf numFmtId="4" fontId="5" fillId="6" borderId="47" xfId="0" applyNumberFormat="1" applyFont="1" applyFill="1" applyBorder="1" applyAlignment="1" applyProtection="1">
      <alignment horizontal="center" vertical="center"/>
      <protection locked="0"/>
    </xf>
    <xf numFmtId="2" fontId="5" fillId="6" borderId="37" xfId="0" applyNumberFormat="1" applyFont="1" applyFill="1" applyBorder="1" applyAlignment="1" applyProtection="1">
      <alignment horizontal="center" vertical="center"/>
    </xf>
    <xf numFmtId="2" fontId="5" fillId="6" borderId="46" xfId="0" applyNumberFormat="1" applyFont="1" applyFill="1" applyBorder="1" applyAlignment="1" applyProtection="1">
      <alignment horizontal="center" vertical="center"/>
    </xf>
    <xf numFmtId="4" fontId="8" fillId="6" borderId="6" xfId="0" applyNumberFormat="1" applyFont="1" applyFill="1" applyBorder="1" applyAlignment="1" applyProtection="1">
      <alignment horizontal="center" vertical="center"/>
    </xf>
    <xf numFmtId="4" fontId="8" fillId="6" borderId="5" xfId="0" applyNumberFormat="1" applyFont="1" applyFill="1" applyBorder="1" applyAlignment="1" applyProtection="1">
      <alignment horizontal="center" vertical="center"/>
      <protection locked="0"/>
    </xf>
    <xf numFmtId="2" fontId="8" fillId="6" borderId="6" xfId="0" applyNumberFormat="1" applyFont="1" applyFill="1" applyBorder="1" applyAlignment="1" applyProtection="1">
      <alignment horizontal="center" vertical="center"/>
    </xf>
    <xf numFmtId="0" fontId="3" fillId="6" borderId="25" xfId="0" applyFont="1" applyFill="1" applyBorder="1" applyAlignment="1" applyProtection="1">
      <alignment horizontal="center"/>
    </xf>
    <xf numFmtId="0" fontId="8" fillId="6" borderId="26" xfId="0" applyFont="1" applyFill="1" applyBorder="1" applyAlignment="1" applyProtection="1">
      <alignment horizontal="center"/>
    </xf>
    <xf numFmtId="0" fontId="3" fillId="6" borderId="1" xfId="0" applyFont="1" applyFill="1" applyBorder="1" applyAlignment="1" applyProtection="1">
      <alignment horizontal="center"/>
    </xf>
    <xf numFmtId="0" fontId="3" fillId="6" borderId="29" xfId="0" applyFont="1" applyFill="1" applyBorder="1" applyAlignment="1" applyProtection="1">
      <alignment horizontal="center"/>
    </xf>
    <xf numFmtId="0" fontId="8" fillId="6" borderId="28" xfId="0" applyFont="1" applyFill="1" applyBorder="1" applyAlignment="1" applyProtection="1">
      <alignment horizontal="center"/>
    </xf>
    <xf numFmtId="4" fontId="5" fillId="6" borderId="7" xfId="0" applyNumberFormat="1" applyFont="1" applyFill="1" applyBorder="1" applyAlignment="1" applyProtection="1">
      <alignment horizontal="center" vertical="center"/>
    </xf>
    <xf numFmtId="4" fontId="5" fillId="6" borderId="36" xfId="0" applyNumberFormat="1" applyFont="1" applyFill="1" applyBorder="1" applyAlignment="1" applyProtection="1">
      <alignment horizontal="center" vertical="center"/>
    </xf>
    <xf numFmtId="4" fontId="8" fillId="6" borderId="36" xfId="0" applyNumberFormat="1" applyFont="1" applyFill="1" applyBorder="1" applyAlignment="1" applyProtection="1">
      <alignment horizontal="center" vertical="center"/>
    </xf>
    <xf numFmtId="4" fontId="8" fillId="6" borderId="21" xfId="0" applyNumberFormat="1" applyFont="1" applyFill="1" applyBorder="1" applyAlignment="1" applyProtection="1">
      <alignment horizontal="center" vertical="center"/>
    </xf>
    <xf numFmtId="3" fontId="3" fillId="6" borderId="6" xfId="0" applyNumberFormat="1" applyFont="1" applyFill="1" applyBorder="1" applyAlignment="1" applyProtection="1">
      <alignment horizontal="center" vertical="center"/>
    </xf>
    <xf numFmtId="4" fontId="3" fillId="6" borderId="23" xfId="0" applyNumberFormat="1" applyFont="1" applyFill="1" applyBorder="1" applyAlignment="1" applyProtection="1">
      <alignment horizontal="center" vertical="center"/>
    </xf>
    <xf numFmtId="4" fontId="0" fillId="6" borderId="1" xfId="0" applyNumberFormat="1" applyFill="1" applyBorder="1" applyAlignment="1" applyProtection="1">
      <alignment horizontal="center" vertical="center"/>
    </xf>
    <xf numFmtId="4" fontId="0" fillId="6" borderId="37" xfId="0" applyNumberFormat="1" applyFill="1" applyBorder="1" applyAlignment="1" applyProtection="1">
      <alignment horizontal="center" vertical="center"/>
    </xf>
    <xf numFmtId="4" fontId="0" fillId="6" borderId="21" xfId="0" applyNumberFormat="1" applyFill="1" applyBorder="1" applyAlignment="1" applyProtection="1">
      <alignment horizontal="center" vertical="center"/>
    </xf>
    <xf numFmtId="4" fontId="0" fillId="6" borderId="38" xfId="0" applyNumberFormat="1" applyFill="1" applyBorder="1" applyAlignment="1" applyProtection="1">
      <alignment horizontal="center" vertical="center"/>
    </xf>
    <xf numFmtId="4" fontId="1" fillId="6" borderId="25" xfId="0" applyNumberFormat="1" applyFont="1" applyFill="1" applyBorder="1" applyAlignment="1" applyProtection="1">
      <alignment horizontal="center" vertical="center"/>
    </xf>
    <xf numFmtId="4" fontId="1" fillId="6" borderId="40" xfId="0" applyNumberFormat="1" applyFont="1" applyFill="1" applyBorder="1" applyAlignment="1" applyProtection="1">
      <alignment horizontal="center" vertical="center"/>
    </xf>
    <xf numFmtId="4" fontId="1" fillId="6" borderId="39" xfId="0" applyNumberFormat="1" applyFont="1" applyFill="1" applyBorder="1" applyAlignment="1" applyProtection="1">
      <alignment horizontal="center" vertical="center"/>
    </xf>
    <xf numFmtId="4" fontId="1" fillId="6" borderId="21" xfId="0" applyNumberFormat="1" applyFont="1" applyFill="1" applyBorder="1" applyAlignment="1" applyProtection="1">
      <alignment horizontal="center" vertical="center"/>
    </xf>
    <xf numFmtId="4" fontId="1" fillId="6" borderId="37" xfId="0" applyNumberFormat="1" applyFont="1" applyFill="1" applyBorder="1" applyAlignment="1" applyProtection="1">
      <alignment horizontal="center" vertical="center"/>
    </xf>
    <xf numFmtId="4" fontId="1" fillId="6" borderId="16" xfId="0" applyNumberFormat="1" applyFont="1" applyFill="1" applyBorder="1" applyAlignment="1" applyProtection="1">
      <alignment horizontal="center" vertical="center"/>
    </xf>
    <xf numFmtId="4" fontId="3" fillId="6" borderId="6" xfId="0" applyNumberFormat="1" applyFont="1" applyFill="1" applyBorder="1" applyAlignment="1">
      <alignment horizontal="center" vertical="center"/>
    </xf>
    <xf numFmtId="0" fontId="3" fillId="7" borderId="6" xfId="0" applyFont="1" applyFill="1" applyBorder="1" applyAlignment="1">
      <alignment horizontal="center" vertical="center"/>
    </xf>
    <xf numFmtId="0" fontId="18" fillId="5" borderId="0" xfId="0" applyFont="1" applyFill="1" applyAlignment="1" applyProtection="1">
      <alignment horizontal="left" vertical="center"/>
      <protection locked="0"/>
    </xf>
    <xf numFmtId="0" fontId="18" fillId="5" borderId="0" xfId="0" applyFont="1" applyFill="1" applyAlignment="1" applyProtection="1">
      <alignment vertical="center"/>
    </xf>
    <xf numFmtId="0" fontId="18" fillId="5" borderId="0" xfId="0" applyFont="1" applyFill="1" applyBorder="1" applyAlignment="1" applyProtection="1">
      <alignment vertical="center"/>
    </xf>
    <xf numFmtId="0" fontId="18" fillId="5" borderId="0" xfId="0" applyFont="1" applyFill="1" applyAlignment="1" applyProtection="1">
      <alignment horizontal="left" vertical="center"/>
    </xf>
    <xf numFmtId="164" fontId="18" fillId="5" borderId="0" xfId="0" applyNumberFormat="1" applyFont="1" applyFill="1" applyAlignment="1" applyProtection="1">
      <alignment horizontal="left" vertical="center"/>
    </xf>
    <xf numFmtId="4" fontId="0" fillId="6" borderId="6" xfId="0" applyNumberFormat="1" applyFill="1" applyBorder="1" applyAlignment="1" applyProtection="1">
      <alignment horizontal="center" vertical="center"/>
    </xf>
    <xf numFmtId="0" fontId="0" fillId="2" borderId="61" xfId="0" applyFill="1" applyBorder="1" applyProtection="1"/>
    <xf numFmtId="0" fontId="0" fillId="2" borderId="62" xfId="0" applyFill="1" applyBorder="1" applyProtection="1"/>
    <xf numFmtId="0" fontId="0" fillId="2" borderId="63" xfId="0" applyFill="1" applyBorder="1" applyProtection="1"/>
    <xf numFmtId="0" fontId="3" fillId="8" borderId="7" xfId="0" applyFont="1" applyFill="1" applyBorder="1" applyAlignment="1" applyProtection="1">
      <alignment horizontal="left" vertical="center"/>
    </xf>
    <xf numFmtId="0" fontId="0" fillId="8" borderId="8" xfId="0" applyFill="1" applyBorder="1" applyAlignment="1" applyProtection="1">
      <alignment vertical="center"/>
    </xf>
    <xf numFmtId="0" fontId="6" fillId="8" borderId="1" xfId="0" applyFont="1" applyFill="1" applyBorder="1" applyAlignment="1" applyProtection="1">
      <alignment horizontal="center" vertical="center"/>
    </xf>
    <xf numFmtId="0" fontId="3" fillId="8" borderId="5" xfId="0" applyFont="1" applyFill="1" applyBorder="1" applyAlignment="1" applyProtection="1">
      <alignment horizontal="center" vertical="center"/>
    </xf>
    <xf numFmtId="167" fontId="5" fillId="8" borderId="1" xfId="0" applyNumberFormat="1" applyFont="1" applyFill="1" applyBorder="1" applyAlignment="1" applyProtection="1">
      <alignment horizontal="center" vertical="center"/>
    </xf>
    <xf numFmtId="164" fontId="1" fillId="8" borderId="6" xfId="0" applyNumberFormat="1" applyFont="1" applyFill="1" applyBorder="1" applyAlignment="1" applyProtection="1">
      <alignment horizontal="center" vertical="center"/>
    </xf>
    <xf numFmtId="168" fontId="9" fillId="8" borderId="11" xfId="0" applyNumberFormat="1" applyFont="1" applyFill="1" applyBorder="1" applyAlignment="1" applyProtection="1">
      <alignment horizontal="center" vertical="center"/>
    </xf>
    <xf numFmtId="0" fontId="3" fillId="8" borderId="8" xfId="0" applyFont="1" applyFill="1" applyBorder="1" applyAlignment="1" applyProtection="1">
      <alignment vertical="center"/>
    </xf>
    <xf numFmtId="0" fontId="5" fillId="8" borderId="5" xfId="0" applyFont="1" applyFill="1" applyBorder="1" applyAlignment="1" applyProtection="1">
      <alignment horizontal="center" vertical="center"/>
    </xf>
    <xf numFmtId="0" fontId="1" fillId="8" borderId="6" xfId="0" applyFont="1" applyFill="1" applyBorder="1" applyAlignment="1" applyProtection="1">
      <alignment horizontal="center" vertical="center"/>
    </xf>
    <xf numFmtId="0" fontId="5" fillId="8" borderId="11" xfId="0" applyFont="1" applyFill="1" applyBorder="1" applyAlignment="1" applyProtection="1">
      <alignment horizontal="left" vertical="center"/>
    </xf>
    <xf numFmtId="4" fontId="6" fillId="8" borderId="11" xfId="0" applyNumberFormat="1" applyFont="1" applyFill="1" applyBorder="1" applyAlignment="1" applyProtection="1">
      <alignment horizontal="center" vertical="center"/>
    </xf>
    <xf numFmtId="0" fontId="5" fillId="8" borderId="10" xfId="0" applyFont="1" applyFill="1" applyBorder="1" applyAlignment="1" applyProtection="1">
      <alignment horizontal="left" vertical="center"/>
    </xf>
    <xf numFmtId="0" fontId="4" fillId="8" borderId="13" xfId="0" applyFont="1" applyFill="1" applyBorder="1" applyAlignment="1" applyProtection="1">
      <alignment horizontal="center" vertical="center"/>
    </xf>
    <xf numFmtId="4" fontId="9" fillId="8" borderId="10" xfId="0" applyNumberFormat="1" applyFont="1" applyFill="1" applyBorder="1" applyAlignment="1" applyProtection="1">
      <alignment horizontal="center" vertical="center"/>
    </xf>
    <xf numFmtId="0" fontId="3" fillId="8" borderId="3" xfId="0" applyFont="1" applyFill="1" applyBorder="1" applyAlignment="1" applyProtection="1">
      <alignment horizontal="left" vertical="center"/>
    </xf>
    <xf numFmtId="2" fontId="6" fillId="8" borderId="6" xfId="0" applyNumberFormat="1" applyFont="1" applyFill="1" applyBorder="1" applyAlignment="1" applyProtection="1">
      <alignment horizontal="center" vertical="center"/>
    </xf>
    <xf numFmtId="0" fontId="8" fillId="8" borderId="30" xfId="0" applyFont="1" applyFill="1" applyBorder="1" applyAlignment="1" applyProtection="1">
      <alignment horizontal="left" vertical="center"/>
    </xf>
    <xf numFmtId="0" fontId="12" fillId="8" borderId="30" xfId="0" applyFont="1" applyFill="1" applyBorder="1" applyAlignment="1" applyProtection="1">
      <alignment horizontal="center" vertical="center"/>
    </xf>
    <xf numFmtId="0" fontId="5" fillId="8" borderId="30" xfId="0" applyFont="1" applyFill="1" applyBorder="1" applyAlignment="1" applyProtection="1">
      <alignment horizontal="left" vertical="center"/>
    </xf>
    <xf numFmtId="0" fontId="6" fillId="8" borderId="30" xfId="0" applyFont="1" applyFill="1" applyBorder="1" applyAlignment="1" applyProtection="1">
      <alignment horizontal="center" vertical="center"/>
    </xf>
    <xf numFmtId="4" fontId="9" fillId="8" borderId="30" xfId="0" applyNumberFormat="1" applyFont="1" applyFill="1" applyBorder="1" applyAlignment="1" applyProtection="1">
      <alignment horizontal="center" vertical="center"/>
    </xf>
    <xf numFmtId="0" fontId="0" fillId="8" borderId="6" xfId="0" applyFill="1" applyBorder="1" applyAlignment="1" applyProtection="1">
      <alignment horizontal="center" vertical="center"/>
    </xf>
    <xf numFmtId="0" fontId="3" fillId="8" borderId="1" xfId="0" applyFont="1" applyFill="1" applyBorder="1" applyAlignment="1" applyProtection="1">
      <alignment horizontal="left" vertical="center"/>
    </xf>
    <xf numFmtId="0" fontId="3" fillId="8" borderId="5" xfId="0" applyFont="1" applyFill="1" applyBorder="1" applyAlignment="1" applyProtection="1">
      <alignment horizontal="left" vertical="center"/>
    </xf>
    <xf numFmtId="0" fontId="6" fillId="8" borderId="11" xfId="0" applyFont="1" applyFill="1" applyBorder="1" applyAlignment="1" applyProtection="1">
      <alignment horizontal="center" vertical="center"/>
    </xf>
    <xf numFmtId="3" fontId="9" fillId="8" borderId="11" xfId="0" applyNumberFormat="1" applyFont="1" applyFill="1" applyBorder="1" applyAlignment="1" applyProtection="1">
      <alignment horizontal="center" vertical="center"/>
    </xf>
    <xf numFmtId="165" fontId="9" fillId="8" borderId="11" xfId="1" applyNumberFormat="1" applyFont="1" applyFill="1" applyBorder="1" applyAlignment="1" applyProtection="1">
      <alignment horizontal="center" vertical="center"/>
    </xf>
    <xf numFmtId="4" fontId="9" fillId="8" borderId="11" xfId="0" applyNumberFormat="1" applyFont="1" applyFill="1" applyBorder="1" applyAlignment="1" applyProtection="1">
      <alignment horizontal="center" vertical="center"/>
    </xf>
    <xf numFmtId="165" fontId="9" fillId="8" borderId="11" xfId="0" applyNumberFormat="1" applyFont="1" applyFill="1" applyBorder="1" applyAlignment="1" applyProtection="1">
      <alignment horizontal="center" vertical="center"/>
    </xf>
    <xf numFmtId="0" fontId="5" fillId="8" borderId="20" xfId="0" applyFont="1" applyFill="1" applyBorder="1" applyAlignment="1" applyProtection="1">
      <alignment horizontal="left" vertical="center"/>
    </xf>
    <xf numFmtId="0" fontId="6" fillId="8" borderId="20" xfId="0" applyFont="1" applyFill="1" applyBorder="1" applyAlignment="1" applyProtection="1">
      <alignment horizontal="center" vertical="center"/>
    </xf>
    <xf numFmtId="2" fontId="9" fillId="8" borderId="29" xfId="0" applyNumberFormat="1" applyFont="1" applyFill="1" applyBorder="1" applyAlignment="1" applyProtection="1">
      <alignment horizontal="center" vertical="center"/>
      <protection locked="0"/>
    </xf>
    <xf numFmtId="2" fontId="9" fillId="8" borderId="11" xfId="0" applyNumberFormat="1" applyFont="1" applyFill="1" applyBorder="1" applyAlignment="1" applyProtection="1">
      <alignment horizontal="center" vertical="center"/>
    </xf>
    <xf numFmtId="3" fontId="9" fillId="8" borderId="20" xfId="0" applyNumberFormat="1" applyFont="1" applyFill="1" applyBorder="1" applyAlignment="1" applyProtection="1">
      <alignment horizontal="center" vertical="center"/>
    </xf>
    <xf numFmtId="0" fontId="3" fillId="8" borderId="5" xfId="0" applyFont="1" applyFill="1" applyBorder="1" applyAlignment="1" applyProtection="1">
      <alignment vertical="center"/>
    </xf>
    <xf numFmtId="0" fontId="6" fillId="8" borderId="13" xfId="0" applyFont="1" applyFill="1" applyBorder="1" applyAlignment="1" applyProtection="1">
      <alignment horizontal="center" vertical="center"/>
    </xf>
    <xf numFmtId="0" fontId="6" fillId="8" borderId="14" xfId="0" applyFont="1" applyFill="1" applyBorder="1" applyAlignment="1" applyProtection="1">
      <alignment horizontal="center" vertical="center"/>
    </xf>
    <xf numFmtId="4" fontId="9" fillId="8" borderId="20" xfId="0" quotePrefix="1" applyNumberFormat="1" applyFont="1" applyFill="1" applyBorder="1" applyAlignment="1" applyProtection="1">
      <alignment horizontal="center" vertical="center"/>
    </xf>
    <xf numFmtId="4" fontId="9" fillId="8" borderId="24" xfId="0" quotePrefix="1" applyNumberFormat="1" applyFont="1" applyFill="1" applyBorder="1" applyAlignment="1" applyProtection="1">
      <alignment horizontal="center" vertical="center"/>
    </xf>
    <xf numFmtId="4" fontId="9" fillId="8" borderId="11" xfId="0" quotePrefix="1" applyNumberFormat="1" applyFont="1" applyFill="1" applyBorder="1" applyAlignment="1" applyProtection="1">
      <alignment horizontal="center" vertical="center"/>
    </xf>
    <xf numFmtId="0" fontId="6" fillId="8" borderId="17" xfId="0" applyFont="1" applyFill="1" applyBorder="1" applyAlignment="1" applyProtection="1">
      <alignment horizontal="center" vertical="center"/>
    </xf>
    <xf numFmtId="0" fontId="5" fillId="8" borderId="4" xfId="0" applyFont="1" applyFill="1" applyBorder="1" applyAlignment="1" applyProtection="1">
      <alignment horizontal="left" vertical="center"/>
    </xf>
    <xf numFmtId="0" fontId="6" fillId="8" borderId="5" xfId="0" applyFont="1" applyFill="1" applyBorder="1" applyAlignment="1" applyProtection="1">
      <alignment horizontal="center" vertical="center"/>
    </xf>
    <xf numFmtId="4" fontId="9" fillId="8" borderId="4" xfId="0" quotePrefix="1" applyNumberFormat="1" applyFont="1" applyFill="1" applyBorder="1" applyAlignment="1" applyProtection="1">
      <alignment horizontal="center" vertical="center"/>
    </xf>
    <xf numFmtId="4" fontId="9" fillId="8" borderId="5" xfId="0" quotePrefix="1" applyNumberFormat="1" applyFont="1" applyFill="1" applyBorder="1" applyAlignment="1" applyProtection="1">
      <alignment horizontal="center" vertical="center"/>
    </xf>
    <xf numFmtId="0" fontId="8" fillId="8" borderId="1" xfId="0" applyFont="1" applyFill="1" applyBorder="1" applyAlignment="1" applyProtection="1">
      <alignment horizontal="left" vertical="center"/>
    </xf>
    <xf numFmtId="0" fontId="8" fillId="8" borderId="5" xfId="0" applyFont="1" applyFill="1" applyBorder="1" applyAlignment="1" applyProtection="1">
      <alignment horizontal="left" vertical="center"/>
    </xf>
    <xf numFmtId="0" fontId="5" fillId="8" borderId="16" xfId="0" applyFont="1" applyFill="1" applyBorder="1" applyAlignment="1" applyProtection="1">
      <alignment horizontal="left" vertical="center"/>
    </xf>
    <xf numFmtId="0" fontId="5" fillId="8" borderId="12" xfId="0" applyFont="1" applyFill="1" applyBorder="1" applyAlignment="1" applyProtection="1">
      <alignment horizontal="left" vertical="center"/>
    </xf>
    <xf numFmtId="164" fontId="9" fillId="8" borderId="22" xfId="0" applyNumberFormat="1" applyFont="1" applyFill="1" applyBorder="1" applyAlignment="1" applyProtection="1">
      <alignment horizontal="center" vertical="center"/>
    </xf>
    <xf numFmtId="0" fontId="6" fillId="8" borderId="18" xfId="0" applyFont="1" applyFill="1" applyBorder="1" applyAlignment="1" applyProtection="1">
      <alignment horizontal="center" vertical="center"/>
    </xf>
    <xf numFmtId="4" fontId="9" fillId="8" borderId="11" xfId="1" quotePrefix="1" applyNumberFormat="1" applyFont="1" applyFill="1" applyBorder="1" applyAlignment="1" applyProtection="1">
      <alignment horizontal="center" vertical="center"/>
    </xf>
    <xf numFmtId="4" fontId="9" fillId="8" borderId="20" xfId="1" quotePrefix="1" applyNumberFormat="1" applyFont="1" applyFill="1" applyBorder="1" applyAlignment="1" applyProtection="1">
      <alignment horizontal="center" vertical="center"/>
    </xf>
    <xf numFmtId="0" fontId="6" fillId="8" borderId="29" xfId="0" applyFont="1" applyFill="1" applyBorder="1" applyAlignment="1" applyProtection="1">
      <alignment horizontal="center" vertical="center"/>
    </xf>
    <xf numFmtId="0" fontId="5" fillId="8" borderId="5" xfId="0" applyFont="1" applyFill="1" applyBorder="1" applyAlignment="1" applyProtection="1">
      <alignment horizontal="left" vertical="center"/>
    </xf>
    <xf numFmtId="4" fontId="9" fillId="8" borderId="5" xfId="1" quotePrefix="1" applyNumberFormat="1" applyFont="1" applyFill="1" applyBorder="1" applyAlignment="1" applyProtection="1">
      <alignment horizontal="center" vertical="center"/>
    </xf>
    <xf numFmtId="4" fontId="9" fillId="8" borderId="8" xfId="1" quotePrefix="1" applyNumberFormat="1" applyFont="1" applyFill="1" applyBorder="1" applyAlignment="1" applyProtection="1">
      <alignment horizontal="center" vertical="center"/>
    </xf>
    <xf numFmtId="2" fontId="9" fillId="8" borderId="22" xfId="0" applyNumberFormat="1" applyFont="1" applyFill="1" applyBorder="1" applyAlignment="1" applyProtection="1">
      <alignment horizontal="center" vertical="center"/>
    </xf>
    <xf numFmtId="0" fontId="14" fillId="8" borderId="34" xfId="0" applyFont="1" applyFill="1" applyBorder="1" applyAlignment="1" applyProtection="1">
      <alignment vertical="center"/>
    </xf>
    <xf numFmtId="0" fontId="18" fillId="8" borderId="6" xfId="0" applyFont="1" applyFill="1" applyBorder="1" applyAlignment="1" applyProtection="1">
      <alignment horizontal="center" vertical="center"/>
    </xf>
    <xf numFmtId="165" fontId="14" fillId="8" borderId="35" xfId="0" applyNumberFormat="1" applyFont="1" applyFill="1" applyBorder="1" applyAlignment="1" applyProtection="1">
      <alignment horizontal="center" vertical="center"/>
    </xf>
    <xf numFmtId="3" fontId="14" fillId="8" borderId="35" xfId="0" applyNumberFormat="1" applyFont="1" applyFill="1" applyBorder="1" applyAlignment="1" applyProtection="1">
      <alignment horizontal="center" vertical="center"/>
    </xf>
    <xf numFmtId="3" fontId="14" fillId="8" borderId="50" xfId="0" applyNumberFormat="1" applyFont="1" applyFill="1" applyBorder="1" applyAlignment="1" applyProtection="1">
      <alignment horizontal="center" vertical="center"/>
    </xf>
    <xf numFmtId="0" fontId="14" fillId="8" borderId="51" xfId="0" applyFont="1" applyFill="1" applyBorder="1" applyAlignment="1" applyProtection="1">
      <alignment vertical="center"/>
    </xf>
    <xf numFmtId="0" fontId="18" fillId="8" borderId="5" xfId="0" applyFont="1" applyFill="1" applyBorder="1" applyAlignment="1" applyProtection="1">
      <alignment horizontal="center" vertical="center"/>
    </xf>
    <xf numFmtId="4" fontId="14" fillId="8" borderId="35" xfId="0" applyNumberFormat="1" applyFont="1" applyFill="1" applyBorder="1" applyAlignment="1" applyProtection="1">
      <alignment horizontal="center" vertical="center"/>
    </xf>
    <xf numFmtId="0" fontId="14" fillId="8" borderId="6" xfId="0" applyFont="1" applyFill="1" applyBorder="1" applyAlignment="1" applyProtection="1">
      <alignment horizontal="center" vertical="center"/>
    </xf>
    <xf numFmtId="0" fontId="8" fillId="8" borderId="6" xfId="0" applyFont="1" applyFill="1" applyBorder="1" applyAlignment="1" applyProtection="1">
      <alignment horizontal="left" vertical="center"/>
    </xf>
    <xf numFmtId="166" fontId="11" fillId="8" borderId="6" xfId="0" applyNumberFormat="1" applyFont="1" applyFill="1" applyBorder="1" applyAlignment="1" applyProtection="1">
      <alignment horizontal="center" vertical="center"/>
      <protection locked="0"/>
    </xf>
    <xf numFmtId="4" fontId="8" fillId="8" borderId="1" xfId="0" applyNumberFormat="1" applyFont="1" applyFill="1" applyBorder="1" applyAlignment="1" applyProtection="1">
      <alignment horizontal="center" vertical="center"/>
    </xf>
    <xf numFmtId="4" fontId="8" fillId="8" borderId="5" xfId="0" applyNumberFormat="1" applyFont="1" applyFill="1" applyBorder="1" applyAlignment="1" applyProtection="1">
      <alignment horizontal="center" vertical="center"/>
    </xf>
    <xf numFmtId="0" fontId="3" fillId="8" borderId="1" xfId="0" applyFont="1" applyFill="1" applyBorder="1" applyAlignment="1" applyProtection="1">
      <alignment horizontal="center" vertical="center"/>
    </xf>
    <xf numFmtId="0" fontId="3" fillId="8" borderId="2" xfId="0" applyFont="1" applyFill="1" applyBorder="1" applyAlignment="1" applyProtection="1">
      <alignment horizontal="center" vertical="center"/>
    </xf>
    <xf numFmtId="166" fontId="10" fillId="8" borderId="5" xfId="0" applyNumberFormat="1" applyFont="1" applyFill="1" applyBorder="1" applyAlignment="1" applyProtection="1">
      <alignment horizontal="center" vertical="center"/>
      <protection locked="0"/>
    </xf>
    <xf numFmtId="0" fontId="3" fillId="8" borderId="4" xfId="0" applyFont="1" applyFill="1" applyBorder="1" applyAlignment="1" applyProtection="1">
      <alignment horizontal="center" vertical="center"/>
    </xf>
    <xf numFmtId="4" fontId="1" fillId="8" borderId="41" xfId="0" applyNumberFormat="1" applyFont="1" applyFill="1" applyBorder="1" applyAlignment="1" applyProtection="1">
      <alignment horizontal="center" vertical="center"/>
      <protection locked="0"/>
    </xf>
    <xf numFmtId="4" fontId="1" fillId="8" borderId="56" xfId="0" applyNumberFormat="1" applyFont="1" applyFill="1" applyBorder="1" applyAlignment="1" applyProtection="1">
      <alignment horizontal="center" vertical="center"/>
      <protection locked="0"/>
    </xf>
    <xf numFmtId="4" fontId="1" fillId="8" borderId="36" xfId="0" applyNumberFormat="1" applyFont="1" applyFill="1" applyBorder="1" applyAlignment="1" applyProtection="1">
      <alignment horizontal="center" vertical="center"/>
      <protection locked="0"/>
    </xf>
    <xf numFmtId="4" fontId="1" fillId="8" borderId="18" xfId="0" applyNumberFormat="1" applyFont="1" applyFill="1" applyBorder="1" applyAlignment="1" applyProtection="1">
      <alignment horizontal="center" vertical="center"/>
      <protection locked="0"/>
    </xf>
    <xf numFmtId="4" fontId="3" fillId="8" borderId="23" xfId="0" applyNumberFormat="1" applyFont="1" applyFill="1" applyBorder="1" applyAlignment="1" applyProtection="1">
      <alignment horizontal="center" vertical="center"/>
    </xf>
    <xf numFmtId="0" fontId="3" fillId="8" borderId="0" xfId="0" applyFont="1" applyFill="1" applyBorder="1" applyAlignment="1" applyProtection="1">
      <alignment horizontal="center" vertical="center"/>
    </xf>
    <xf numFmtId="4" fontId="1" fillId="8" borderId="1" xfId="0" applyNumberFormat="1" applyFont="1" applyFill="1" applyBorder="1" applyAlignment="1" applyProtection="1">
      <alignment horizontal="center" vertical="center"/>
      <protection locked="0"/>
    </xf>
    <xf numFmtId="4" fontId="1" fillId="8" borderId="21" xfId="0" applyNumberFormat="1" applyFont="1" applyFill="1" applyBorder="1" applyAlignment="1" applyProtection="1">
      <alignment horizontal="center" vertical="center"/>
      <protection locked="0"/>
    </xf>
    <xf numFmtId="4" fontId="1" fillId="8" borderId="29" xfId="0" applyNumberFormat="1" applyFont="1" applyFill="1" applyBorder="1" applyAlignment="1" applyProtection="1">
      <alignment horizontal="center" vertical="center"/>
      <protection locked="0"/>
    </xf>
    <xf numFmtId="4" fontId="3" fillId="8" borderId="6" xfId="0" applyNumberFormat="1" applyFont="1" applyFill="1" applyBorder="1" applyAlignment="1" applyProtection="1">
      <alignment horizontal="center" vertical="center"/>
    </xf>
    <xf numFmtId="4" fontId="1" fillId="8" borderId="19" xfId="0" applyNumberFormat="1" applyFont="1" applyFill="1" applyBorder="1" applyAlignment="1" applyProtection="1">
      <alignment horizontal="center" vertical="center"/>
    </xf>
    <xf numFmtId="4" fontId="1" fillId="8" borderId="21" xfId="0" applyNumberFormat="1" applyFont="1" applyFill="1" applyBorder="1" applyAlignment="1" applyProtection="1">
      <alignment horizontal="center" vertical="center"/>
    </xf>
    <xf numFmtId="4" fontId="1" fillId="8" borderId="47" xfId="0" applyNumberFormat="1" applyFont="1" applyFill="1" applyBorder="1" applyAlignment="1" applyProtection="1">
      <alignment horizontal="center" vertical="center"/>
    </xf>
    <xf numFmtId="4" fontId="0" fillId="8" borderId="19" xfId="0" applyNumberFormat="1" applyFill="1" applyBorder="1" applyAlignment="1" applyProtection="1">
      <alignment horizontal="center" vertical="center"/>
    </xf>
    <xf numFmtId="4" fontId="0" fillId="8" borderId="21" xfId="0" applyNumberFormat="1" applyFill="1" applyBorder="1" applyAlignment="1" applyProtection="1">
      <alignment horizontal="center" vertical="center"/>
    </xf>
    <xf numFmtId="4" fontId="8" fillId="6" borderId="36" xfId="0" applyNumberFormat="1" applyFont="1" applyFill="1" applyBorder="1" applyAlignment="1" applyProtection="1">
      <alignment horizontal="center" vertical="center"/>
    </xf>
    <xf numFmtId="0" fontId="0" fillId="0" borderId="0" xfId="0" applyFill="1" applyProtection="1"/>
    <xf numFmtId="4" fontId="9" fillId="8" borderId="6" xfId="0" applyNumberFormat="1" applyFont="1" applyFill="1" applyBorder="1" applyAlignment="1" applyProtection="1">
      <alignment horizontal="center" vertical="center"/>
    </xf>
    <xf numFmtId="4" fontId="0" fillId="8" borderId="19" xfId="0" applyNumberFormat="1" applyFill="1" applyBorder="1" applyAlignment="1">
      <alignment horizontal="center" vertical="center"/>
    </xf>
    <xf numFmtId="4" fontId="0" fillId="8" borderId="21" xfId="0" applyNumberFormat="1" applyFill="1" applyBorder="1" applyAlignment="1">
      <alignment horizontal="center" vertical="center"/>
    </xf>
    <xf numFmtId="4" fontId="0" fillId="8" borderId="47" xfId="0" applyNumberFormat="1" applyFill="1" applyBorder="1" applyAlignment="1">
      <alignment horizontal="center" vertical="center"/>
    </xf>
    <xf numFmtId="165" fontId="9" fillId="8" borderId="6" xfId="0" applyNumberFormat="1" applyFont="1" applyFill="1" applyBorder="1" applyAlignment="1" applyProtection="1">
      <alignment horizontal="center" vertical="center"/>
    </xf>
    <xf numFmtId="0" fontId="5" fillId="6" borderId="1" xfId="0" applyFont="1" applyFill="1" applyBorder="1" applyAlignment="1" applyProtection="1">
      <alignment horizontal="center" vertical="center"/>
    </xf>
    <xf numFmtId="0" fontId="5" fillId="6" borderId="5" xfId="0" applyFont="1" applyFill="1" applyBorder="1" applyAlignment="1" applyProtection="1">
      <alignment horizontal="center" vertical="center"/>
    </xf>
    <xf numFmtId="4" fontId="5" fillId="6" borderId="23" xfId="0" applyNumberFormat="1" applyFont="1" applyFill="1" applyBorder="1" applyAlignment="1" applyProtection="1">
      <alignment horizontal="center" vertical="center"/>
    </xf>
    <xf numFmtId="3" fontId="0" fillId="2" borderId="0" xfId="0" applyNumberFormat="1" applyFill="1" applyAlignment="1" applyProtection="1">
      <alignment vertical="center"/>
    </xf>
    <xf numFmtId="3" fontId="9" fillId="8" borderId="11" xfId="0" quotePrefix="1" applyNumberFormat="1" applyFont="1" applyFill="1" applyBorder="1" applyAlignment="1" applyProtection="1">
      <alignment horizontal="center" vertical="center"/>
    </xf>
    <xf numFmtId="171" fontId="0" fillId="2" borderId="0" xfId="0" applyNumberFormat="1" applyFill="1" applyProtection="1"/>
    <xf numFmtId="0" fontId="0" fillId="2" borderId="0" xfId="0" applyFill="1" applyBorder="1" applyAlignment="1" applyProtection="1">
      <alignment horizontal="center"/>
    </xf>
    <xf numFmtId="3" fontId="5" fillId="6" borderId="19" xfId="0" applyNumberFormat="1" applyFont="1" applyFill="1" applyBorder="1" applyAlignment="1" applyProtection="1">
      <alignment horizontal="center" vertical="center"/>
    </xf>
    <xf numFmtId="4" fontId="5" fillId="6" borderId="28" xfId="0" applyNumberFormat="1" applyFont="1" applyFill="1" applyBorder="1" applyAlignment="1" applyProtection="1">
      <alignment horizontal="center" vertical="center"/>
    </xf>
    <xf numFmtId="0" fontId="5" fillId="0" borderId="16" xfId="0" applyFont="1" applyBorder="1" applyAlignment="1" applyProtection="1">
      <alignment horizontal="left" vertical="center"/>
    </xf>
    <xf numFmtId="4" fontId="6" fillId="0" borderId="16" xfId="0" applyNumberFormat="1" applyFont="1" applyFill="1" applyBorder="1" applyAlignment="1" applyProtection="1">
      <alignment horizontal="center" vertical="center"/>
    </xf>
    <xf numFmtId="0" fontId="3" fillId="8" borderId="8" xfId="0" applyFont="1" applyFill="1" applyBorder="1" applyAlignment="1" applyProtection="1">
      <alignment horizontal="left" vertical="center"/>
    </xf>
    <xf numFmtId="4" fontId="8" fillId="6" borderId="36" xfId="0" applyNumberFormat="1" applyFont="1" applyFill="1" applyBorder="1" applyAlignment="1" applyProtection="1">
      <alignment horizontal="center" vertical="center"/>
    </xf>
    <xf numFmtId="0" fontId="0" fillId="0" borderId="0" xfId="0" applyFill="1" applyAlignment="1" applyProtection="1">
      <alignment vertical="center"/>
    </xf>
    <xf numFmtId="0" fontId="3" fillId="8" borderId="3" xfId="0" applyFont="1" applyFill="1" applyBorder="1" applyAlignment="1" applyProtection="1">
      <alignment horizontal="left" vertical="center"/>
    </xf>
    <xf numFmtId="0" fontId="5" fillId="2" borderId="27" xfId="0" applyFont="1" applyFill="1" applyBorder="1" applyAlignment="1" applyProtection="1">
      <alignment vertical="center"/>
    </xf>
    <xf numFmtId="4" fontId="6" fillId="0" borderId="20" xfId="0" applyNumberFormat="1" applyFont="1" applyFill="1" applyBorder="1" applyAlignment="1" applyProtection="1">
      <alignment horizontal="center" vertical="center"/>
    </xf>
    <xf numFmtId="4" fontId="9" fillId="0" borderId="20" xfId="0" applyNumberFormat="1" applyFont="1" applyFill="1" applyBorder="1" applyAlignment="1" applyProtection="1">
      <alignment horizontal="center" vertical="center"/>
      <protection locked="0"/>
    </xf>
    <xf numFmtId="4" fontId="12" fillId="8" borderId="6" xfId="0" applyNumberFormat="1" applyFont="1" applyFill="1" applyBorder="1" applyAlignment="1" applyProtection="1">
      <alignment horizontal="center" vertical="center"/>
    </xf>
    <xf numFmtId="0" fontId="3" fillId="8" borderId="6" xfId="0" applyFont="1" applyFill="1" applyBorder="1" applyAlignment="1" applyProtection="1">
      <alignment horizontal="left" vertical="center"/>
    </xf>
    <xf numFmtId="0" fontId="6" fillId="8" borderId="23" xfId="0" applyFont="1" applyFill="1" applyBorder="1" applyAlignment="1" applyProtection="1">
      <alignment horizontal="center" vertical="center"/>
    </xf>
    <xf numFmtId="168" fontId="9" fillId="8" borderId="6" xfId="0" applyNumberFormat="1" applyFont="1" applyFill="1" applyBorder="1" applyAlignment="1" applyProtection="1">
      <alignment horizontal="center" vertical="center"/>
    </xf>
    <xf numFmtId="4" fontId="5" fillId="6" borderId="6" xfId="0" applyNumberFormat="1" applyFont="1" applyFill="1" applyBorder="1" applyAlignment="1" applyProtection="1">
      <alignment horizontal="center" vertical="center"/>
    </xf>
    <xf numFmtId="4" fontId="8" fillId="6" borderId="54" xfId="0" applyNumberFormat="1" applyFont="1" applyFill="1" applyBorder="1" applyAlignment="1" applyProtection="1">
      <alignment horizontal="center" vertical="center"/>
    </xf>
    <xf numFmtId="4" fontId="8" fillId="6" borderId="37" xfId="0" applyNumberFormat="1" applyFont="1" applyFill="1" applyBorder="1" applyAlignment="1" applyProtection="1">
      <alignment horizontal="center" vertical="center"/>
    </xf>
    <xf numFmtId="0" fontId="12" fillId="8" borderId="3" xfId="0" applyFont="1" applyFill="1" applyBorder="1" applyAlignment="1" applyProtection="1">
      <alignment horizontal="center" vertical="center"/>
    </xf>
    <xf numFmtId="4" fontId="8" fillId="6" borderId="3" xfId="0" applyNumberFormat="1" applyFont="1" applyFill="1" applyBorder="1" applyAlignment="1" applyProtection="1">
      <alignment horizontal="center" vertical="center"/>
    </xf>
    <xf numFmtId="2" fontId="9" fillId="8" borderId="16" xfId="0" applyNumberFormat="1" applyFont="1" applyFill="1" applyBorder="1" applyAlignment="1" applyProtection="1">
      <alignment horizontal="center" vertical="center"/>
    </xf>
    <xf numFmtId="0" fontId="5" fillId="2" borderId="6" xfId="0" applyFont="1" applyFill="1" applyBorder="1" applyAlignment="1" applyProtection="1">
      <alignment horizontal="left" vertical="center"/>
    </xf>
    <xf numFmtId="0" fontId="6" fillId="0" borderId="23" xfId="0" applyFont="1" applyBorder="1" applyAlignment="1" applyProtection="1">
      <alignment horizontal="center" vertical="center"/>
    </xf>
    <xf numFmtId="4" fontId="9" fillId="0" borderId="6" xfId="0" applyNumberFormat="1" applyFont="1" applyFill="1" applyBorder="1" applyAlignment="1" applyProtection="1">
      <alignment horizontal="center" vertical="center"/>
    </xf>
    <xf numFmtId="0" fontId="5" fillId="2" borderId="6" xfId="0" applyFont="1" applyFill="1" applyBorder="1" applyAlignment="1" applyProtection="1">
      <alignment horizontal="center" vertical="center"/>
      <protection locked="0"/>
    </xf>
    <xf numFmtId="0" fontId="3" fillId="0" borderId="0" xfId="0" applyFont="1" applyAlignment="1">
      <alignment vertical="center"/>
    </xf>
    <xf numFmtId="164" fontId="9" fillId="8" borderId="11" xfId="0" applyNumberFormat="1"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42" xfId="0" applyFont="1" applyFill="1" applyBorder="1" applyAlignment="1" applyProtection="1">
      <alignment horizontal="center" vertical="center"/>
    </xf>
    <xf numFmtId="0" fontId="24" fillId="5" borderId="6" xfId="0" applyFont="1" applyFill="1" applyBorder="1" applyAlignment="1">
      <alignment horizontal="center" vertical="center"/>
    </xf>
    <xf numFmtId="4" fontId="1" fillId="2" borderId="19" xfId="0" applyNumberFormat="1" applyFont="1" applyFill="1" applyBorder="1" applyAlignment="1" applyProtection="1">
      <alignment horizontal="center" vertical="center"/>
      <protection locked="0"/>
    </xf>
    <xf numFmtId="4" fontId="1" fillId="2" borderId="47" xfId="0" applyNumberFormat="1" applyFont="1" applyFill="1" applyBorder="1" applyAlignment="1" applyProtection="1">
      <alignment horizontal="center" vertical="center"/>
      <protection locked="0"/>
    </xf>
    <xf numFmtId="3" fontId="26" fillId="0" borderId="11" xfId="0" applyNumberFormat="1" applyFont="1" applyBorder="1" applyAlignment="1" applyProtection="1">
      <alignment horizontal="center" vertical="center"/>
      <protection locked="0"/>
    </xf>
    <xf numFmtId="1" fontId="26" fillId="2" borderId="11" xfId="0" applyNumberFormat="1" applyFont="1" applyFill="1" applyBorder="1" applyAlignment="1" applyProtection="1">
      <alignment horizontal="center" vertical="center"/>
    </xf>
    <xf numFmtId="0" fontId="5" fillId="9" borderId="11" xfId="0" applyFont="1" applyFill="1" applyBorder="1" applyAlignment="1" applyProtection="1">
      <alignment horizontal="left" vertical="center"/>
    </xf>
    <xf numFmtId="0" fontId="6" fillId="9" borderId="14" xfId="0" applyFont="1" applyFill="1" applyBorder="1" applyAlignment="1" applyProtection="1">
      <alignment horizontal="center" vertical="center"/>
    </xf>
    <xf numFmtId="4" fontId="9" fillId="9" borderId="11" xfId="0" applyNumberFormat="1" applyFont="1" applyFill="1" applyBorder="1" applyAlignment="1" applyProtection="1">
      <alignment horizontal="center" vertical="center"/>
    </xf>
    <xf numFmtId="0" fontId="3" fillId="6" borderId="3" xfId="0" applyFont="1" applyFill="1" applyBorder="1" applyAlignment="1" applyProtection="1">
      <alignment horizontal="left" vertical="center"/>
    </xf>
    <xf numFmtId="0" fontId="3" fillId="6" borderId="23" xfId="0" applyFont="1" applyFill="1" applyBorder="1" applyAlignment="1" applyProtection="1">
      <alignment horizontal="left" vertical="center"/>
    </xf>
    <xf numFmtId="0" fontId="3" fillId="6" borderId="42" xfId="0" applyFont="1" applyFill="1" applyBorder="1" applyAlignment="1" applyProtection="1">
      <alignment horizontal="left" vertical="center"/>
    </xf>
    <xf numFmtId="4" fontId="8" fillId="8" borderId="3" xfId="0" applyNumberFormat="1" applyFont="1" applyFill="1" applyBorder="1" applyAlignment="1" applyProtection="1">
      <alignment horizontal="left" vertical="center"/>
    </xf>
    <xf numFmtId="4" fontId="8" fillId="8" borderId="42" xfId="0" applyNumberFormat="1" applyFont="1" applyFill="1" applyBorder="1" applyAlignment="1" applyProtection="1">
      <alignment horizontal="left" vertical="center"/>
    </xf>
    <xf numFmtId="1" fontId="0" fillId="2" borderId="43" xfId="0" applyNumberFormat="1" applyFill="1" applyBorder="1" applyAlignment="1" applyProtection="1">
      <alignment horizontal="left" vertical="center"/>
    </xf>
    <xf numFmtId="1" fontId="0" fillId="2" borderId="44" xfId="0" applyNumberFormat="1" applyFill="1" applyBorder="1" applyAlignment="1" applyProtection="1">
      <alignment horizontal="left" vertical="center"/>
    </xf>
    <xf numFmtId="1" fontId="0" fillId="2" borderId="45" xfId="0" applyNumberFormat="1" applyFill="1" applyBorder="1" applyAlignment="1" applyProtection="1">
      <alignment horizontal="left" vertical="center"/>
    </xf>
    <xf numFmtId="1" fontId="0" fillId="2" borderId="46" xfId="0" applyNumberFormat="1" applyFill="1" applyBorder="1" applyAlignment="1" applyProtection="1">
      <alignment horizontal="left" vertical="center"/>
    </xf>
    <xf numFmtId="1" fontId="0" fillId="2" borderId="36" xfId="0" applyNumberFormat="1" applyFill="1" applyBorder="1" applyAlignment="1" applyProtection="1">
      <alignment horizontal="left" vertical="center"/>
    </xf>
    <xf numFmtId="1" fontId="0" fillId="2" borderId="40" xfId="0" applyNumberFormat="1" applyFill="1" applyBorder="1" applyAlignment="1" applyProtection="1">
      <alignment horizontal="left" vertical="center"/>
    </xf>
    <xf numFmtId="0" fontId="1" fillId="2" borderId="36" xfId="0" applyFont="1" applyFill="1" applyBorder="1" applyAlignment="1" applyProtection="1">
      <alignment horizontal="left" vertical="center"/>
      <protection locked="0"/>
    </xf>
    <xf numFmtId="0" fontId="1" fillId="2" borderId="41" xfId="0" applyFont="1" applyFill="1" applyBorder="1" applyAlignment="1" applyProtection="1">
      <alignment horizontal="left" vertical="center"/>
      <protection locked="0"/>
    </xf>
    <xf numFmtId="0" fontId="1" fillId="2" borderId="40"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1" fillId="2" borderId="26"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25" xfId="0" applyFont="1" applyFill="1" applyBorder="1" applyAlignment="1" applyProtection="1">
      <alignment horizontal="left" vertical="center"/>
      <protection locked="0"/>
    </xf>
    <xf numFmtId="0" fontId="2" fillId="6" borderId="3" xfId="0" applyFont="1" applyFill="1" applyBorder="1" applyAlignment="1" applyProtection="1">
      <alignment horizontal="left" vertical="center"/>
    </xf>
    <xf numFmtId="0" fontId="2" fillId="6" borderId="23" xfId="0" applyFont="1" applyFill="1" applyBorder="1" applyAlignment="1" applyProtection="1">
      <alignment horizontal="left" vertical="center"/>
    </xf>
    <xf numFmtId="0" fontId="2" fillId="6" borderId="42" xfId="0" applyFont="1" applyFill="1" applyBorder="1" applyAlignment="1" applyProtection="1">
      <alignment horizontal="left" vertical="center"/>
    </xf>
    <xf numFmtId="0" fontId="3" fillId="8" borderId="3" xfId="0" applyFont="1" applyFill="1" applyBorder="1" applyAlignment="1" applyProtection="1">
      <alignment horizontal="center" vertical="center"/>
    </xf>
    <xf numFmtId="0" fontId="3" fillId="8" borderId="23" xfId="0" applyFont="1" applyFill="1" applyBorder="1" applyAlignment="1" applyProtection="1">
      <alignment horizontal="center" vertical="center"/>
    </xf>
    <xf numFmtId="0" fontId="3" fillId="8" borderId="42" xfId="0" applyFont="1" applyFill="1" applyBorder="1" applyAlignment="1" applyProtection="1">
      <alignment horizontal="center" vertical="center"/>
    </xf>
    <xf numFmtId="0" fontId="3" fillId="8" borderId="3" xfId="0" applyFont="1" applyFill="1" applyBorder="1" applyAlignment="1" applyProtection="1">
      <alignment horizontal="left" vertical="center"/>
    </xf>
    <xf numFmtId="0" fontId="3" fillId="8" borderId="42" xfId="0" applyFont="1" applyFill="1" applyBorder="1" applyAlignment="1" applyProtection="1">
      <alignment horizontal="left" vertical="center"/>
    </xf>
    <xf numFmtId="0" fontId="1" fillId="2" borderId="54" xfId="0" applyFont="1" applyFill="1" applyBorder="1" applyAlignment="1" applyProtection="1">
      <alignment horizontal="left" vertical="center"/>
      <protection locked="0"/>
    </xf>
    <xf numFmtId="0" fontId="1" fillId="2" borderId="55" xfId="0" applyFont="1" applyFill="1" applyBorder="1" applyAlignment="1" applyProtection="1">
      <alignment horizontal="left" vertical="center"/>
      <protection locked="0"/>
    </xf>
    <xf numFmtId="0" fontId="3" fillId="6" borderId="4" xfId="0" applyFont="1" applyFill="1" applyBorder="1" applyAlignment="1" applyProtection="1">
      <alignment horizontal="left" vertical="center"/>
    </xf>
    <xf numFmtId="1" fontId="3" fillId="8" borderId="3" xfId="0" applyNumberFormat="1" applyFont="1" applyFill="1" applyBorder="1" applyAlignment="1" applyProtection="1">
      <alignment horizontal="left" vertical="center"/>
    </xf>
    <xf numFmtId="1" fontId="3" fillId="8" borderId="42" xfId="0" applyNumberFormat="1" applyFont="1" applyFill="1" applyBorder="1" applyAlignment="1" applyProtection="1">
      <alignment horizontal="left" vertical="center"/>
    </xf>
    <xf numFmtId="1" fontId="2" fillId="7" borderId="3" xfId="0" applyNumberFormat="1" applyFont="1" applyFill="1" applyBorder="1" applyAlignment="1" applyProtection="1">
      <alignment horizontal="center" vertical="center"/>
    </xf>
    <xf numFmtId="1" fontId="2" fillId="7" borderId="42" xfId="0" applyNumberFormat="1" applyFont="1" applyFill="1" applyBorder="1" applyAlignment="1" applyProtection="1">
      <alignment horizontal="center" vertical="center"/>
    </xf>
    <xf numFmtId="0" fontId="3" fillId="6" borderId="6" xfId="0" applyFont="1" applyFill="1" applyBorder="1" applyAlignment="1">
      <alignment horizontal="center" vertical="center"/>
    </xf>
    <xf numFmtId="0" fontId="0" fillId="2" borderId="4" xfId="0" applyFill="1" applyBorder="1" applyAlignment="1" applyProtection="1">
      <alignment horizontal="left" vertical="center"/>
    </xf>
    <xf numFmtId="0" fontId="0" fillId="2" borderId="26" xfId="0" applyFill="1" applyBorder="1" applyAlignment="1" applyProtection="1">
      <alignment horizontal="left" vertical="center"/>
    </xf>
    <xf numFmtId="4" fontId="25" fillId="6" borderId="36" xfId="0" applyNumberFormat="1" applyFont="1" applyFill="1" applyBorder="1" applyAlignment="1" applyProtection="1">
      <alignment horizontal="center" vertical="center"/>
    </xf>
    <xf numFmtId="4" fontId="25" fillId="6" borderId="40" xfId="0" applyNumberFormat="1" applyFont="1" applyFill="1" applyBorder="1" applyAlignment="1" applyProtection="1">
      <alignment horizontal="center" vertical="center"/>
    </xf>
    <xf numFmtId="168" fontId="25" fillId="6" borderId="36" xfId="0" applyNumberFormat="1" applyFont="1" applyFill="1" applyBorder="1" applyAlignment="1" applyProtection="1">
      <alignment horizontal="center" vertical="center"/>
    </xf>
    <xf numFmtId="168" fontId="25" fillId="6" borderId="40" xfId="0" applyNumberFormat="1" applyFont="1" applyFill="1" applyBorder="1" applyAlignment="1" applyProtection="1">
      <alignment horizontal="center" vertical="center"/>
    </xf>
    <xf numFmtId="164" fontId="5" fillId="6" borderId="36" xfId="0" applyNumberFormat="1" applyFont="1" applyFill="1" applyBorder="1" applyAlignment="1" applyProtection="1">
      <alignment horizontal="center" vertical="center"/>
    </xf>
    <xf numFmtId="164" fontId="5" fillId="6" borderId="40" xfId="0" applyNumberFormat="1" applyFont="1" applyFill="1" applyBorder="1" applyAlignment="1" applyProtection="1">
      <alignment horizontal="center" vertical="center"/>
    </xf>
    <xf numFmtId="4" fontId="5" fillId="6" borderId="36" xfId="0" applyNumberFormat="1" applyFont="1" applyFill="1" applyBorder="1" applyAlignment="1" applyProtection="1">
      <alignment horizontal="center" vertical="center"/>
    </xf>
    <xf numFmtId="4" fontId="5" fillId="6" borderId="40" xfId="0" applyNumberFormat="1" applyFont="1" applyFill="1" applyBorder="1" applyAlignment="1" applyProtection="1">
      <alignment horizontal="center" vertical="center"/>
    </xf>
    <xf numFmtId="3" fontId="5" fillId="6" borderId="36" xfId="0" applyNumberFormat="1" applyFont="1" applyFill="1" applyBorder="1" applyAlignment="1" applyProtection="1">
      <alignment horizontal="center" vertical="center"/>
    </xf>
    <xf numFmtId="3" fontId="5" fillId="6" borderId="40" xfId="0" applyNumberFormat="1" applyFont="1" applyFill="1" applyBorder="1" applyAlignment="1" applyProtection="1">
      <alignment horizontal="center" vertical="center"/>
    </xf>
    <xf numFmtId="164" fontId="5" fillId="6" borderId="21" xfId="1" applyNumberFormat="1" applyFont="1" applyFill="1" applyBorder="1" applyAlignment="1" applyProtection="1">
      <alignment horizontal="center" vertical="center"/>
    </xf>
    <xf numFmtId="3" fontId="13" fillId="6" borderId="36" xfId="0" applyNumberFormat="1" applyFont="1" applyFill="1" applyBorder="1" applyAlignment="1" applyProtection="1">
      <alignment horizontal="center" vertical="center"/>
    </xf>
    <xf numFmtId="3" fontId="13" fillId="6" borderId="40" xfId="0" applyNumberFormat="1" applyFont="1" applyFill="1" applyBorder="1" applyAlignment="1" applyProtection="1">
      <alignment horizontal="center" vertical="center"/>
    </xf>
    <xf numFmtId="4" fontId="13" fillId="6" borderId="36" xfId="0" applyNumberFormat="1" applyFont="1" applyFill="1" applyBorder="1" applyAlignment="1" applyProtection="1">
      <alignment horizontal="center" vertical="center"/>
    </xf>
    <xf numFmtId="4" fontId="13" fillId="6" borderId="40" xfId="0" applyNumberFormat="1" applyFont="1" applyFill="1" applyBorder="1" applyAlignment="1" applyProtection="1">
      <alignment horizontal="center" vertical="center"/>
    </xf>
    <xf numFmtId="4" fontId="8" fillId="6" borderId="3" xfId="0" applyNumberFormat="1" applyFont="1" applyFill="1" applyBorder="1" applyAlignment="1" applyProtection="1">
      <alignment horizontal="center" vertical="center"/>
    </xf>
    <xf numFmtId="4" fontId="8" fillId="6" borderId="42" xfId="0" applyNumberFormat="1" applyFont="1" applyFill="1" applyBorder="1" applyAlignment="1" applyProtection="1">
      <alignment horizontal="center" vertical="center"/>
    </xf>
    <xf numFmtId="0" fontId="0" fillId="2" borderId="0" xfId="0" applyFill="1" applyAlignment="1" applyProtection="1">
      <alignment horizontal="center" vertical="center"/>
    </xf>
    <xf numFmtId="0" fontId="3" fillId="6" borderId="7" xfId="0" applyFont="1" applyFill="1" applyBorder="1" applyAlignment="1" applyProtection="1">
      <alignment horizontal="center"/>
    </xf>
    <xf numFmtId="0" fontId="3" fillId="6" borderId="25" xfId="0" applyFont="1" applyFill="1" applyBorder="1" applyAlignment="1" applyProtection="1">
      <alignment horizontal="center"/>
    </xf>
    <xf numFmtId="165" fontId="8" fillId="6" borderId="8" xfId="0" applyNumberFormat="1" applyFont="1" applyFill="1" applyBorder="1" applyAlignment="1" applyProtection="1">
      <alignment horizontal="center" vertical="center"/>
    </xf>
    <xf numFmtId="165" fontId="8" fillId="6" borderId="26" xfId="0" applyNumberFormat="1" applyFont="1" applyFill="1" applyBorder="1" applyAlignment="1" applyProtection="1">
      <alignment horizontal="center" vertical="center"/>
    </xf>
    <xf numFmtId="164" fontId="5" fillId="6" borderId="36" xfId="1" applyNumberFormat="1" applyFont="1" applyFill="1" applyBorder="1" applyAlignment="1" applyProtection="1">
      <alignment horizontal="center" vertical="center"/>
    </xf>
    <xf numFmtId="164" fontId="5" fillId="6" borderId="40" xfId="1" applyNumberFormat="1" applyFont="1" applyFill="1" applyBorder="1" applyAlignment="1" applyProtection="1">
      <alignment horizontal="center" vertical="center"/>
    </xf>
    <xf numFmtId="2" fontId="13" fillId="6" borderId="36" xfId="0" applyNumberFormat="1" applyFont="1" applyFill="1" applyBorder="1" applyAlignment="1" applyProtection="1">
      <alignment horizontal="center" vertical="center"/>
    </xf>
    <xf numFmtId="2" fontId="13" fillId="6" borderId="40" xfId="0" applyNumberFormat="1" applyFont="1" applyFill="1" applyBorder="1" applyAlignment="1" applyProtection="1">
      <alignment horizontal="center" vertical="center"/>
    </xf>
    <xf numFmtId="2" fontId="25" fillId="6" borderId="36" xfId="0" applyNumberFormat="1" applyFont="1" applyFill="1" applyBorder="1" applyAlignment="1" applyProtection="1">
      <alignment horizontal="center" vertical="center"/>
    </xf>
    <xf numFmtId="2" fontId="25" fillId="6" borderId="40" xfId="0" applyNumberFormat="1" applyFont="1" applyFill="1" applyBorder="1" applyAlignment="1" applyProtection="1">
      <alignment horizontal="center" vertical="center"/>
    </xf>
    <xf numFmtId="4" fontId="8" fillId="6" borderId="36" xfId="0" applyNumberFormat="1" applyFont="1" applyFill="1" applyBorder="1" applyAlignment="1" applyProtection="1">
      <alignment horizontal="center" vertical="center"/>
    </xf>
    <xf numFmtId="4" fontId="8" fillId="6" borderId="40" xfId="0" applyNumberFormat="1" applyFont="1" applyFill="1" applyBorder="1" applyAlignment="1" applyProtection="1">
      <alignment horizontal="center" vertical="center"/>
    </xf>
    <xf numFmtId="17" fontId="19" fillId="2" borderId="4" xfId="0" applyNumberFormat="1" applyFont="1" applyFill="1" applyBorder="1" applyAlignment="1" applyProtection="1">
      <alignment horizontal="center" vertical="center"/>
    </xf>
    <xf numFmtId="3" fontId="8" fillId="6" borderId="36" xfId="0" applyNumberFormat="1" applyFont="1" applyFill="1" applyBorder="1" applyAlignment="1" applyProtection="1">
      <alignment horizontal="center" vertical="center"/>
    </xf>
    <xf numFmtId="3" fontId="8" fillId="6" borderId="40" xfId="0" applyNumberFormat="1" applyFont="1" applyFill="1" applyBorder="1" applyAlignment="1" applyProtection="1">
      <alignment horizontal="center" vertical="center"/>
    </xf>
    <xf numFmtId="2" fontId="8" fillId="6" borderId="36" xfId="0" applyNumberFormat="1" applyFont="1" applyFill="1" applyBorder="1" applyAlignment="1" applyProtection="1">
      <alignment horizontal="center" vertical="center"/>
    </xf>
    <xf numFmtId="2" fontId="8" fillId="6" borderId="40" xfId="0" applyNumberFormat="1" applyFont="1" applyFill="1" applyBorder="1" applyAlignment="1" applyProtection="1">
      <alignment horizontal="center" vertical="center"/>
    </xf>
    <xf numFmtId="0" fontId="19" fillId="2" borderId="8" xfId="0" applyFont="1" applyFill="1" applyBorder="1" applyAlignment="1" applyProtection="1">
      <alignment horizontal="center" vertical="center"/>
    </xf>
    <xf numFmtId="0" fontId="19" fillId="2" borderId="4" xfId="0" applyFont="1" applyFill="1" applyBorder="1" applyAlignment="1" applyProtection="1">
      <alignment horizontal="center" vertical="center"/>
    </xf>
    <xf numFmtId="2" fontId="8" fillId="6" borderId="64" xfId="0" applyNumberFormat="1" applyFont="1" applyFill="1" applyBorder="1" applyAlignment="1" applyProtection="1">
      <alignment horizontal="center" vertical="center"/>
    </xf>
    <xf numFmtId="2" fontId="8" fillId="6" borderId="65" xfId="0" applyNumberFormat="1" applyFont="1" applyFill="1" applyBorder="1" applyAlignment="1" applyProtection="1">
      <alignment horizontal="center" vertical="center"/>
    </xf>
    <xf numFmtId="2" fontId="5" fillId="6" borderId="36" xfId="0" applyNumberFormat="1" applyFont="1" applyFill="1" applyBorder="1" applyAlignment="1" applyProtection="1">
      <alignment horizontal="center" vertical="center"/>
    </xf>
    <xf numFmtId="2" fontId="5" fillId="6" borderId="40" xfId="0" applyNumberFormat="1" applyFont="1" applyFill="1" applyBorder="1" applyAlignment="1" applyProtection="1">
      <alignment horizontal="center" vertical="center"/>
    </xf>
    <xf numFmtId="0" fontId="4" fillId="6" borderId="8" xfId="0" applyFont="1" applyFill="1" applyBorder="1" applyAlignment="1" applyProtection="1">
      <alignment horizontal="center"/>
    </xf>
    <xf numFmtId="0" fontId="4" fillId="6" borderId="26" xfId="0" applyFont="1" applyFill="1" applyBorder="1" applyAlignment="1" applyProtection="1">
      <alignment horizontal="center"/>
    </xf>
    <xf numFmtId="0" fontId="1" fillId="2" borderId="0" xfId="0" applyFont="1" applyFill="1" applyAlignment="1" applyProtection="1">
      <alignment horizontal="left" vertical="center"/>
      <protection locked="0"/>
    </xf>
    <xf numFmtId="0" fontId="0" fillId="2" borderId="0" xfId="0" applyFill="1" applyBorder="1" applyAlignment="1" applyProtection="1">
      <alignment horizontal="left" vertical="center"/>
    </xf>
    <xf numFmtId="0" fontId="1" fillId="2" borderId="2" xfId="0" applyFont="1" applyFill="1" applyBorder="1" applyAlignment="1" applyProtection="1">
      <alignment horizontal="left" vertical="center"/>
    </xf>
    <xf numFmtId="0" fontId="1" fillId="2" borderId="0" xfId="0" applyFont="1" applyFill="1" applyAlignment="1" applyProtection="1">
      <alignment horizontal="left" vertical="center"/>
    </xf>
    <xf numFmtId="0" fontId="1" fillId="2" borderId="4"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169" fontId="13" fillId="6" borderId="36" xfId="0" applyNumberFormat="1" applyFont="1" applyFill="1" applyBorder="1" applyAlignment="1" applyProtection="1">
      <alignment horizontal="center" vertical="center"/>
    </xf>
    <xf numFmtId="169" fontId="13" fillId="6" borderId="40" xfId="0" applyNumberFormat="1" applyFont="1" applyFill="1" applyBorder="1" applyAlignment="1" applyProtection="1">
      <alignment horizontal="center" vertical="center"/>
    </xf>
    <xf numFmtId="3" fontId="25" fillId="6" borderId="36" xfId="0" applyNumberFormat="1" applyFont="1" applyFill="1" applyBorder="1" applyAlignment="1" applyProtection="1">
      <alignment horizontal="center" vertical="center"/>
    </xf>
    <xf numFmtId="3" fontId="25" fillId="6" borderId="40" xfId="0" applyNumberFormat="1" applyFont="1" applyFill="1" applyBorder="1" applyAlignment="1" applyProtection="1">
      <alignment horizontal="center" vertical="center"/>
    </xf>
    <xf numFmtId="4" fontId="8" fillId="6" borderId="27" xfId="0" applyNumberFormat="1" applyFont="1" applyFill="1" applyBorder="1" applyAlignment="1" applyProtection="1">
      <alignment horizontal="center" vertical="center"/>
    </xf>
    <xf numFmtId="4" fontId="8" fillId="6" borderId="24" xfId="0" applyNumberFormat="1" applyFont="1" applyFill="1" applyBorder="1" applyAlignment="1" applyProtection="1">
      <alignment horizontal="center" vertical="center"/>
    </xf>
    <xf numFmtId="0" fontId="0" fillId="2" borderId="4" xfId="0" applyFill="1" applyBorder="1" applyAlignment="1" applyProtection="1">
      <alignment horizontal="center" vertical="center"/>
    </xf>
    <xf numFmtId="4" fontId="5" fillId="6" borderId="43" xfId="0" applyNumberFormat="1" applyFont="1" applyFill="1" applyBorder="1" applyAlignment="1" applyProtection="1">
      <alignment horizontal="center" vertical="center"/>
    </xf>
    <xf numFmtId="4" fontId="5" fillId="6" borderId="44" xfId="0" applyNumberFormat="1" applyFont="1" applyFill="1" applyBorder="1" applyAlignment="1" applyProtection="1">
      <alignment horizontal="center" vertical="center"/>
    </xf>
    <xf numFmtId="3" fontId="5" fillId="6" borderId="45" xfId="0" applyNumberFormat="1" applyFont="1" applyFill="1" applyBorder="1" applyAlignment="1" applyProtection="1">
      <alignment horizontal="center" vertical="center"/>
    </xf>
    <xf numFmtId="3" fontId="5" fillId="6" borderId="46" xfId="0" applyNumberFormat="1" applyFont="1" applyFill="1" applyBorder="1" applyAlignment="1" applyProtection="1">
      <alignment horizontal="center" vertical="center"/>
    </xf>
    <xf numFmtId="164" fontId="8" fillId="6" borderId="36" xfId="0" applyNumberFormat="1" applyFont="1" applyFill="1" applyBorder="1" applyAlignment="1" applyProtection="1">
      <alignment horizontal="center" vertical="center"/>
    </xf>
    <xf numFmtId="164" fontId="8" fillId="6" borderId="40" xfId="0" applyNumberFormat="1" applyFont="1" applyFill="1" applyBorder="1" applyAlignment="1" applyProtection="1">
      <alignment horizontal="center" vertical="center"/>
    </xf>
    <xf numFmtId="165" fontId="8" fillId="6" borderId="36" xfId="0" applyNumberFormat="1" applyFont="1" applyFill="1" applyBorder="1" applyAlignment="1" applyProtection="1">
      <alignment horizontal="center" vertical="center"/>
    </xf>
    <xf numFmtId="165" fontId="8" fillId="6" borderId="40" xfId="0" applyNumberFormat="1" applyFont="1" applyFill="1" applyBorder="1" applyAlignment="1" applyProtection="1">
      <alignment horizontal="center" vertical="center"/>
    </xf>
    <xf numFmtId="165" fontId="8" fillId="6" borderId="36" xfId="1" applyNumberFormat="1" applyFont="1" applyFill="1" applyBorder="1" applyAlignment="1" applyProtection="1">
      <alignment horizontal="center" vertical="center"/>
    </xf>
    <xf numFmtId="165" fontId="8" fillId="6" borderId="40" xfId="1" applyNumberFormat="1" applyFont="1" applyFill="1" applyBorder="1" applyAlignment="1" applyProtection="1">
      <alignment horizontal="center" vertical="center"/>
    </xf>
    <xf numFmtId="4" fontId="8" fillId="6" borderId="8" xfId="0" applyNumberFormat="1" applyFont="1" applyFill="1" applyBorder="1" applyAlignment="1" applyProtection="1">
      <alignment horizontal="center" vertical="center"/>
    </xf>
    <xf numFmtId="4" fontId="8" fillId="6" borderId="26" xfId="0" applyNumberFormat="1" applyFont="1" applyFill="1" applyBorder="1" applyAlignment="1" applyProtection="1">
      <alignment horizontal="center" vertical="center"/>
    </xf>
    <xf numFmtId="170" fontId="5" fillId="6" borderId="36" xfId="0" applyNumberFormat="1" applyFont="1" applyFill="1" applyBorder="1" applyAlignment="1" applyProtection="1">
      <alignment horizontal="center" vertical="center"/>
    </xf>
    <xf numFmtId="170" fontId="5" fillId="6" borderId="40" xfId="0" applyNumberFormat="1" applyFont="1" applyFill="1" applyBorder="1" applyAlignment="1" applyProtection="1">
      <alignment horizontal="center" vertical="center"/>
    </xf>
    <xf numFmtId="0" fontId="0" fillId="2" borderId="58" xfId="0" applyFill="1" applyBorder="1" applyAlignment="1" applyProtection="1">
      <alignment horizontal="center"/>
    </xf>
    <xf numFmtId="0" fontId="0" fillId="2" borderId="59" xfId="0" applyFill="1" applyBorder="1" applyAlignment="1" applyProtection="1">
      <alignment horizontal="center"/>
    </xf>
    <xf numFmtId="0" fontId="0" fillId="2" borderId="60" xfId="0" applyFill="1" applyBorder="1" applyAlignment="1" applyProtection="1">
      <alignment horizontal="center"/>
    </xf>
    <xf numFmtId="0" fontId="1" fillId="2" borderId="26" xfId="0" applyFont="1" applyFill="1" applyBorder="1" applyAlignment="1" applyProtection="1">
      <alignment horizontal="left" vertical="center"/>
    </xf>
    <xf numFmtId="17" fontId="1" fillId="2" borderId="4" xfId="0" applyNumberFormat="1" applyFont="1" applyFill="1" applyBorder="1" applyAlignment="1" applyProtection="1">
      <alignment horizontal="left" vertical="center"/>
    </xf>
    <xf numFmtId="17" fontId="1" fillId="2" borderId="26" xfId="0" applyNumberFormat="1" applyFont="1" applyFill="1" applyBorder="1" applyAlignment="1" applyProtection="1">
      <alignment horizontal="left" vertical="center"/>
    </xf>
    <xf numFmtId="1" fontId="25" fillId="6" borderId="36" xfId="0" applyNumberFormat="1" applyFont="1" applyFill="1" applyBorder="1" applyAlignment="1" applyProtection="1">
      <alignment horizontal="center" vertical="center"/>
    </xf>
    <xf numFmtId="1" fontId="25" fillId="6" borderId="40" xfId="0" applyNumberFormat="1" applyFont="1" applyFill="1" applyBorder="1" applyAlignment="1" applyProtection="1">
      <alignment horizontal="center" vertical="center"/>
    </xf>
    <xf numFmtId="4" fontId="5" fillId="6" borderId="8" xfId="0" applyNumberFormat="1" applyFont="1" applyFill="1" applyBorder="1" applyAlignment="1" applyProtection="1">
      <alignment horizontal="center" vertical="center"/>
    </xf>
    <xf numFmtId="4" fontId="5" fillId="6" borderId="26" xfId="0" applyNumberFormat="1" applyFont="1" applyFill="1" applyBorder="1" applyAlignment="1" applyProtection="1">
      <alignment horizontal="center" vertical="center"/>
    </xf>
    <xf numFmtId="0" fontId="1" fillId="2" borderId="0" xfId="0" applyFont="1" applyFill="1" applyBorder="1" applyAlignment="1" applyProtection="1">
      <alignment horizontal="left" vertical="center"/>
    </xf>
    <xf numFmtId="0" fontId="0" fillId="2" borderId="0" xfId="0" applyFill="1" applyBorder="1" applyAlignment="1" applyProtection="1">
      <alignment horizontal="center" vertical="center"/>
    </xf>
  </cellXfs>
  <cellStyles count="2">
    <cellStyle name="Normal" xfId="0" builtinId="0"/>
    <cellStyle name="Percent" xfId="1" builtinId="5"/>
  </cellStyles>
  <dxfs count="48">
    <dxf>
      <font>
        <condense val="0"/>
        <extend val="0"/>
        <color rgb="FF9C0006"/>
      </font>
    </dxf>
    <dxf>
      <font>
        <color rgb="FFFF0000"/>
      </font>
    </dxf>
    <dxf>
      <font>
        <color rgb="FFFF0000"/>
      </font>
    </dxf>
    <dxf>
      <font>
        <condense val="0"/>
        <extend val="0"/>
        <color rgb="FF9C0006"/>
      </font>
    </dxf>
    <dxf>
      <font>
        <color rgb="FFFF0000"/>
      </font>
    </dxf>
    <dxf>
      <font>
        <color rgb="FF9C0006"/>
      </font>
    </dxf>
    <dxf>
      <font>
        <color rgb="FFFF0000"/>
      </font>
    </dxf>
    <dxf>
      <font>
        <color rgb="FFFF0000"/>
      </font>
    </dxf>
    <dxf>
      <font>
        <color rgb="FFFF0000"/>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ndense val="0"/>
        <extend val="0"/>
        <color rgb="FF9C0006"/>
      </font>
    </dxf>
    <dxf>
      <font>
        <color rgb="FFFF0000"/>
      </font>
    </dxf>
    <dxf>
      <font>
        <color rgb="FF9C0006"/>
      </font>
    </dxf>
    <dxf>
      <font>
        <color rgb="FF9C0006"/>
      </font>
    </dxf>
    <dxf>
      <font>
        <color rgb="FF9C0006"/>
      </font>
    </dxf>
    <dxf>
      <font>
        <color rgb="FF9C0006"/>
      </font>
    </dxf>
    <dxf>
      <font>
        <color rgb="FF9C0006"/>
      </font>
    </dxf>
    <dxf>
      <font>
        <color rgb="FF9C0006"/>
      </font>
    </dxf>
    <dxf>
      <font>
        <condense val="0"/>
        <extend val="0"/>
        <color rgb="FF9C0006"/>
      </font>
    </dxf>
    <dxf>
      <font>
        <color rgb="FF9C0006"/>
      </font>
    </dxf>
    <dxf>
      <font>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lor rgb="FFFF0000"/>
      </font>
    </dxf>
    <dxf>
      <font>
        <condense val="0"/>
        <extend val="0"/>
        <color rgb="FF9C0006"/>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color rgb="FFFFCCCC"/>
      <color rgb="FF00CCFF"/>
      <color rgb="FFCCE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67830</xdr:colOff>
      <xdr:row>0</xdr:row>
      <xdr:rowOff>17318</xdr:rowOff>
    </xdr:from>
    <xdr:to>
      <xdr:col>18</xdr:col>
      <xdr:colOff>909013</xdr:colOff>
      <xdr:row>2</xdr:row>
      <xdr:rowOff>160193</xdr:rowOff>
    </xdr:to>
    <xdr:pic>
      <xdr:nvPicPr>
        <xdr:cNvPr id="48" name="Picture 1" descr="C:\ads\Logo3\cppsecopy.jpg">
          <a:extLst>
            <a:ext uri="{FF2B5EF4-FFF2-40B4-BE49-F238E27FC236}">
              <a16:creationId xmlns:a16="http://schemas.microsoft.com/office/drawing/2014/main" id="{00000000-0008-0000-0500-000030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004262" y="17318"/>
          <a:ext cx="841183"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311728</xdr:colOff>
      <xdr:row>0</xdr:row>
      <xdr:rowOff>79375</xdr:rowOff>
    </xdr:from>
    <xdr:to>
      <xdr:col>17</xdr:col>
      <xdr:colOff>800689</xdr:colOff>
      <xdr:row>2</xdr:row>
      <xdr:rowOff>123825</xdr:rowOff>
    </xdr:to>
    <xdr:pic>
      <xdr:nvPicPr>
        <xdr:cNvPr id="55" name="Picture 2" descr="C:\Documents and Settings\Usuario\Meus documentos\Balde Cheio\Logo Balde Cheio.gif">
          <a:extLst>
            <a:ext uri="{FF2B5EF4-FFF2-40B4-BE49-F238E27FC236}">
              <a16:creationId xmlns:a16="http://schemas.microsoft.com/office/drawing/2014/main" id="{00000000-0008-0000-0500-00003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16887" y="79375"/>
          <a:ext cx="488961"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381639</xdr:colOff>
      <xdr:row>42</xdr:row>
      <xdr:rowOff>15240</xdr:rowOff>
    </xdr:from>
    <xdr:to>
      <xdr:col>15</xdr:col>
      <xdr:colOff>686651</xdr:colOff>
      <xdr:row>44</xdr:row>
      <xdr:rowOff>158115</xdr:rowOff>
    </xdr:to>
    <xdr:pic>
      <xdr:nvPicPr>
        <xdr:cNvPr id="40" name="Picture 1" descr="C:\ads\Logo3\cppsecopy.jpg">
          <a:extLst>
            <a:ext uri="{FF2B5EF4-FFF2-40B4-BE49-F238E27FC236}">
              <a16:creationId xmlns:a16="http://schemas.microsoft.com/office/drawing/2014/main" id="{00000000-0008-0000-0500-000028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93179" y="6530340"/>
          <a:ext cx="838412"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365760</xdr:colOff>
      <xdr:row>42</xdr:row>
      <xdr:rowOff>94615</xdr:rowOff>
    </xdr:from>
    <xdr:to>
      <xdr:col>14</xdr:col>
      <xdr:colOff>341836</xdr:colOff>
      <xdr:row>44</xdr:row>
      <xdr:rowOff>139065</xdr:rowOff>
    </xdr:to>
    <xdr:pic>
      <xdr:nvPicPr>
        <xdr:cNvPr id="41" name="Picture 2" descr="C:\Documents and Settings\Usuario\Meus documentos\Balde Cheio\Logo Balde Cheio.gif">
          <a:extLst>
            <a:ext uri="{FF2B5EF4-FFF2-40B4-BE49-F238E27FC236}">
              <a16:creationId xmlns:a16="http://schemas.microsoft.com/office/drawing/2014/main" id="{00000000-0008-0000-0500-00002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97240" y="6609715"/>
          <a:ext cx="492771"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381639</xdr:colOff>
      <xdr:row>76</xdr:row>
      <xdr:rowOff>22860</xdr:rowOff>
    </xdr:from>
    <xdr:to>
      <xdr:col>15</xdr:col>
      <xdr:colOff>686651</xdr:colOff>
      <xdr:row>78</xdr:row>
      <xdr:rowOff>165735</xdr:rowOff>
    </xdr:to>
    <xdr:pic>
      <xdr:nvPicPr>
        <xdr:cNvPr id="42" name="Picture 1" descr="C:\ads\Logo3\cppsecopy.jpg">
          <a:extLst>
            <a:ext uri="{FF2B5EF4-FFF2-40B4-BE49-F238E27FC236}">
              <a16:creationId xmlns:a16="http://schemas.microsoft.com/office/drawing/2014/main" id="{00000000-0008-0000-0500-00002A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93179" y="12222480"/>
          <a:ext cx="838412"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365760</xdr:colOff>
      <xdr:row>76</xdr:row>
      <xdr:rowOff>102235</xdr:rowOff>
    </xdr:from>
    <xdr:to>
      <xdr:col>14</xdr:col>
      <xdr:colOff>341836</xdr:colOff>
      <xdr:row>78</xdr:row>
      <xdr:rowOff>146685</xdr:rowOff>
    </xdr:to>
    <xdr:pic>
      <xdr:nvPicPr>
        <xdr:cNvPr id="43" name="Picture 2" descr="C:\Documents and Settings\Usuario\Meus documentos\Balde Cheio\Logo Balde Cheio.gif">
          <a:extLst>
            <a:ext uri="{FF2B5EF4-FFF2-40B4-BE49-F238E27FC236}">
              <a16:creationId xmlns:a16="http://schemas.microsoft.com/office/drawing/2014/main" id="{00000000-0008-0000-05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97240" y="12301855"/>
          <a:ext cx="492771"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381639</xdr:colOff>
      <xdr:row>121</xdr:row>
      <xdr:rowOff>22860</xdr:rowOff>
    </xdr:from>
    <xdr:to>
      <xdr:col>15</xdr:col>
      <xdr:colOff>686651</xdr:colOff>
      <xdr:row>123</xdr:row>
      <xdr:rowOff>165735</xdr:rowOff>
    </xdr:to>
    <xdr:pic>
      <xdr:nvPicPr>
        <xdr:cNvPr id="44" name="Picture 1" descr="C:\ads\Logo3\cppsecopy.jpg">
          <a:extLst>
            <a:ext uri="{FF2B5EF4-FFF2-40B4-BE49-F238E27FC236}">
              <a16:creationId xmlns:a16="http://schemas.microsoft.com/office/drawing/2014/main" id="{00000000-0008-0000-0500-00002C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93179" y="18394680"/>
          <a:ext cx="838412"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365760</xdr:colOff>
      <xdr:row>121</xdr:row>
      <xdr:rowOff>102235</xdr:rowOff>
    </xdr:from>
    <xdr:to>
      <xdr:col>14</xdr:col>
      <xdr:colOff>341836</xdr:colOff>
      <xdr:row>123</xdr:row>
      <xdr:rowOff>146685</xdr:rowOff>
    </xdr:to>
    <xdr:pic>
      <xdr:nvPicPr>
        <xdr:cNvPr id="45" name="Picture 2" descr="C:\Documents and Settings\Usuario\Meus documentos\Balde Cheio\Logo Balde Cheio.gif">
          <a:extLst>
            <a:ext uri="{FF2B5EF4-FFF2-40B4-BE49-F238E27FC236}">
              <a16:creationId xmlns:a16="http://schemas.microsoft.com/office/drawing/2014/main" id="{00000000-0008-0000-0500-00002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97240" y="18474055"/>
          <a:ext cx="492771"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381639</xdr:colOff>
      <xdr:row>145</xdr:row>
      <xdr:rowOff>22860</xdr:rowOff>
    </xdr:from>
    <xdr:to>
      <xdr:col>15</xdr:col>
      <xdr:colOff>686651</xdr:colOff>
      <xdr:row>147</xdr:row>
      <xdr:rowOff>165735</xdr:rowOff>
    </xdr:to>
    <xdr:pic>
      <xdr:nvPicPr>
        <xdr:cNvPr id="46" name="Picture 1" descr="C:\ads\Logo3\cppsecopy.jpg">
          <a:extLst>
            <a:ext uri="{FF2B5EF4-FFF2-40B4-BE49-F238E27FC236}">
              <a16:creationId xmlns:a16="http://schemas.microsoft.com/office/drawing/2014/main" id="{00000000-0008-0000-0500-00002E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93179" y="22326600"/>
          <a:ext cx="838412"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365760</xdr:colOff>
      <xdr:row>145</xdr:row>
      <xdr:rowOff>102235</xdr:rowOff>
    </xdr:from>
    <xdr:to>
      <xdr:col>14</xdr:col>
      <xdr:colOff>341836</xdr:colOff>
      <xdr:row>147</xdr:row>
      <xdr:rowOff>146685</xdr:rowOff>
    </xdr:to>
    <xdr:pic>
      <xdr:nvPicPr>
        <xdr:cNvPr id="47" name="Picture 2" descr="C:\Documents and Settings\Usuario\Meus documentos\Balde Cheio\Logo Balde Cheio.gif">
          <a:extLst>
            <a:ext uri="{FF2B5EF4-FFF2-40B4-BE49-F238E27FC236}">
              <a16:creationId xmlns:a16="http://schemas.microsoft.com/office/drawing/2014/main" id="{00000000-0008-0000-0500-00002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97240" y="22405975"/>
          <a:ext cx="492771"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381639</xdr:colOff>
      <xdr:row>175</xdr:row>
      <xdr:rowOff>22860</xdr:rowOff>
    </xdr:from>
    <xdr:to>
      <xdr:col>15</xdr:col>
      <xdr:colOff>686651</xdr:colOff>
      <xdr:row>178</xdr:row>
      <xdr:rowOff>0</xdr:rowOff>
    </xdr:to>
    <xdr:pic>
      <xdr:nvPicPr>
        <xdr:cNvPr id="49" name="Picture 1" descr="C:\ads\Logo3\cppsecopy.jpg">
          <a:extLst>
            <a:ext uri="{FF2B5EF4-FFF2-40B4-BE49-F238E27FC236}">
              <a16:creationId xmlns:a16="http://schemas.microsoft.com/office/drawing/2014/main" id="{00000000-0008-0000-0500-000031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93179" y="26738580"/>
          <a:ext cx="838412"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365760</xdr:colOff>
      <xdr:row>175</xdr:row>
      <xdr:rowOff>102235</xdr:rowOff>
    </xdr:from>
    <xdr:to>
      <xdr:col>14</xdr:col>
      <xdr:colOff>341836</xdr:colOff>
      <xdr:row>177</xdr:row>
      <xdr:rowOff>146685</xdr:rowOff>
    </xdr:to>
    <xdr:pic>
      <xdr:nvPicPr>
        <xdr:cNvPr id="50" name="Picture 2" descr="C:\Documents and Settings\Usuario\Meus documentos\Balde Cheio\Logo Balde Cheio.gif">
          <a:extLst>
            <a:ext uri="{FF2B5EF4-FFF2-40B4-BE49-F238E27FC236}">
              <a16:creationId xmlns:a16="http://schemas.microsoft.com/office/drawing/2014/main" id="{00000000-0008-0000-0500-00003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97240" y="26817955"/>
          <a:ext cx="492771"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719728</xdr:colOff>
      <xdr:row>0</xdr:row>
      <xdr:rowOff>15875</xdr:rowOff>
    </xdr:from>
    <xdr:to>
      <xdr:col>2</xdr:col>
      <xdr:colOff>1989297</xdr:colOff>
      <xdr:row>3</xdr:row>
      <xdr:rowOff>124788</xdr:rowOff>
    </xdr:to>
    <xdr:pic>
      <xdr:nvPicPr>
        <xdr:cNvPr id="2" name="Picture 1" descr="C:\ads\Logo3\cppsecopy.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84408" y="15875"/>
          <a:ext cx="1269569" cy="680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1706540</xdr:colOff>
      <xdr:row>0</xdr:row>
      <xdr:rowOff>111127</xdr:rowOff>
    </xdr:from>
    <xdr:to>
      <xdr:col>2</xdr:col>
      <xdr:colOff>515060</xdr:colOff>
      <xdr:row>2</xdr:row>
      <xdr:rowOff>176713</xdr:rowOff>
    </xdr:to>
    <xdr:pic>
      <xdr:nvPicPr>
        <xdr:cNvPr id="3" name="Picture 2" descr="C:\Documents and Settings\Usuario\Meus documentos\Balde Cheio\Logo Balde Cheio.gif">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11000" y="111127"/>
          <a:ext cx="622080" cy="515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
  <sheetViews>
    <sheetView zoomScale="110" zoomScaleNormal="110" workbookViewId="0">
      <selection activeCell="A10" sqref="A10:B10"/>
    </sheetView>
  </sheetViews>
  <sheetFormatPr defaultColWidth="9.140625" defaultRowHeight="15" customHeight="1" x14ac:dyDescent="0.2"/>
  <cols>
    <col min="1" max="1" width="24" style="13" customWidth="1"/>
    <col min="2" max="2" width="8.85546875" style="13" customWidth="1"/>
    <col min="3" max="3" width="11.140625" style="13" customWidth="1"/>
    <col min="4" max="4" width="14.7109375" style="13" customWidth="1"/>
    <col min="5" max="6" width="12.42578125" style="13" customWidth="1"/>
    <col min="7" max="7" width="9.7109375" style="13" customWidth="1"/>
    <col min="8" max="8" width="10.42578125" style="13" customWidth="1"/>
    <col min="9" max="16384" width="9.140625" style="13"/>
  </cols>
  <sheetData>
    <row r="1" spans="1:6" ht="15" customHeight="1" x14ac:dyDescent="0.2">
      <c r="A1" s="303" t="s">
        <v>150</v>
      </c>
      <c r="B1" s="304"/>
      <c r="C1" s="304"/>
      <c r="D1" s="304"/>
      <c r="E1" s="305"/>
      <c r="F1" s="78">
        <v>2018</v>
      </c>
    </row>
    <row r="2" spans="1:6" ht="15" customHeight="1" x14ac:dyDescent="0.2">
      <c r="A2" s="229" t="s">
        <v>60</v>
      </c>
      <c r="B2" s="230">
        <v>0.06</v>
      </c>
      <c r="C2" s="231" t="s">
        <v>8</v>
      </c>
      <c r="D2" s="231" t="s">
        <v>134</v>
      </c>
      <c r="E2" s="231" t="s">
        <v>134</v>
      </c>
      <c r="F2" s="231" t="s">
        <v>53</v>
      </c>
    </row>
    <row r="3" spans="1:6" ht="15" customHeight="1" x14ac:dyDescent="0.2">
      <c r="A3" s="306" t="s">
        <v>62</v>
      </c>
      <c r="B3" s="307"/>
      <c r="C3" s="232" t="s">
        <v>54</v>
      </c>
      <c r="D3" s="232" t="s">
        <v>135</v>
      </c>
      <c r="E3" s="232" t="s">
        <v>136</v>
      </c>
      <c r="F3" s="232" t="s">
        <v>5</v>
      </c>
    </row>
    <row r="4" spans="1:6" ht="15" customHeight="1" x14ac:dyDescent="0.2">
      <c r="A4" s="308" t="s">
        <v>63</v>
      </c>
      <c r="B4" s="309"/>
      <c r="C4" s="47"/>
      <c r="D4" s="48"/>
      <c r="E4" s="250">
        <f t="shared" ref="E4:E9" si="0">C4*D4</f>
        <v>0</v>
      </c>
      <c r="F4" s="140">
        <f t="shared" ref="F4:F9" si="1">(C4*D4)*$B$2</f>
        <v>0</v>
      </c>
    </row>
    <row r="5" spans="1:6" ht="15" customHeight="1" x14ac:dyDescent="0.2">
      <c r="A5" s="312" t="s">
        <v>64</v>
      </c>
      <c r="B5" s="313"/>
      <c r="C5" s="49"/>
      <c r="D5" s="50"/>
      <c r="E5" s="251">
        <f t="shared" si="0"/>
        <v>0</v>
      </c>
      <c r="F5" s="141">
        <f t="shared" si="1"/>
        <v>0</v>
      </c>
    </row>
    <row r="6" spans="1:6" ht="15" customHeight="1" x14ac:dyDescent="0.2">
      <c r="A6" s="312" t="s">
        <v>65</v>
      </c>
      <c r="B6" s="313"/>
      <c r="C6" s="49"/>
      <c r="D6" s="50"/>
      <c r="E6" s="251">
        <f t="shared" si="0"/>
        <v>0</v>
      </c>
      <c r="F6" s="142">
        <f t="shared" si="1"/>
        <v>0</v>
      </c>
    </row>
    <row r="7" spans="1:6" ht="15" customHeight="1" x14ac:dyDescent="0.2">
      <c r="A7" s="312" t="s">
        <v>66</v>
      </c>
      <c r="B7" s="313"/>
      <c r="C7" s="49"/>
      <c r="D7" s="50"/>
      <c r="E7" s="251">
        <f t="shared" si="0"/>
        <v>0</v>
      </c>
      <c r="F7" s="142">
        <f t="shared" si="1"/>
        <v>0</v>
      </c>
    </row>
    <row r="8" spans="1:6" ht="15" customHeight="1" x14ac:dyDescent="0.2">
      <c r="A8" s="312" t="s">
        <v>67</v>
      </c>
      <c r="B8" s="313"/>
      <c r="C8" s="49"/>
      <c r="D8" s="50"/>
      <c r="E8" s="251">
        <f t="shared" si="0"/>
        <v>0</v>
      </c>
      <c r="F8" s="143">
        <f t="shared" si="1"/>
        <v>0</v>
      </c>
    </row>
    <row r="9" spans="1:6" ht="15" customHeight="1" x14ac:dyDescent="0.2">
      <c r="A9" s="310" t="s">
        <v>4</v>
      </c>
      <c r="B9" s="311"/>
      <c r="C9" s="49"/>
      <c r="D9" s="50"/>
      <c r="E9" s="251">
        <f t="shared" si="0"/>
        <v>0</v>
      </c>
      <c r="F9" s="143">
        <f t="shared" si="1"/>
        <v>0</v>
      </c>
    </row>
    <row r="10" spans="1:6" ht="15" customHeight="1" x14ac:dyDescent="0.2">
      <c r="A10" s="303" t="s">
        <v>2</v>
      </c>
      <c r="B10" s="305"/>
      <c r="C10" s="138">
        <f>SUM(C4:C9)</f>
        <v>0</v>
      </c>
      <c r="D10" s="157" t="s">
        <v>0</v>
      </c>
      <c r="E10" s="139">
        <f>SUM(E4:E9)</f>
        <v>0</v>
      </c>
      <c r="F10" s="105">
        <f>SUM(F4:F9)</f>
        <v>0</v>
      </c>
    </row>
  </sheetData>
  <customSheetViews>
    <customSheetView guid="{97A6A664-2357-4472-A4F3-F41AC18A86A2}" scale="120">
      <selection sqref="A1:E1"/>
      <pageMargins left="0.78740157480314965" right="0.59055118110236227" top="0.98425196850393704" bottom="0.98425196850393704" header="0.51181102362204722" footer="0.51181102362204722"/>
      <pageSetup paperSize="9" orientation="portrait" r:id="rId1"/>
      <headerFooter alignWithMargins="0"/>
    </customSheetView>
  </customSheetViews>
  <mergeCells count="9">
    <mergeCell ref="A1:E1"/>
    <mergeCell ref="A3:B3"/>
    <mergeCell ref="A4:B4"/>
    <mergeCell ref="A9:B9"/>
    <mergeCell ref="A10:B10"/>
    <mergeCell ref="A5:B5"/>
    <mergeCell ref="A6:B6"/>
    <mergeCell ref="A7:B7"/>
    <mergeCell ref="A8:B8"/>
  </mergeCells>
  <pageMargins left="0.78740157480314965" right="0.59055118110236227" top="0.98425196850393704" bottom="0.98425196850393704" header="0.51181102362204722" footer="0.51181102362204722"/>
  <pageSetup paperSize="9"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7"/>
  <sheetViews>
    <sheetView zoomScale="110" zoomScaleNormal="110" workbookViewId="0">
      <selection activeCell="A21" sqref="A21:C21"/>
    </sheetView>
  </sheetViews>
  <sheetFormatPr defaultColWidth="9.140625" defaultRowHeight="15" customHeight="1" x14ac:dyDescent="0.2"/>
  <cols>
    <col min="1" max="1" width="9.7109375" style="57" customWidth="1"/>
    <col min="2" max="2" width="20.7109375" style="57" customWidth="1"/>
    <col min="3" max="3" width="6" style="57" customWidth="1"/>
    <col min="4" max="4" width="10.42578125" style="57" customWidth="1"/>
    <col min="5" max="5" width="12.7109375" style="57" customWidth="1"/>
    <col min="6" max="6" width="13.85546875" style="57" customWidth="1"/>
    <col min="7" max="7" width="12.42578125" style="57" customWidth="1"/>
    <col min="8" max="8" width="15.7109375" style="10" bestFit="1" customWidth="1"/>
    <col min="9" max="9" width="9.7109375" style="13" customWidth="1"/>
    <col min="10" max="16384" width="9.140625" style="13"/>
  </cols>
  <sheetData>
    <row r="1" spans="1:8" ht="15" customHeight="1" x14ac:dyDescent="0.2">
      <c r="A1" s="323" t="s">
        <v>152</v>
      </c>
      <c r="B1" s="324"/>
      <c r="C1" s="324"/>
      <c r="D1" s="324"/>
      <c r="E1" s="324"/>
      <c r="F1" s="325"/>
      <c r="G1" s="78">
        <v>2018</v>
      </c>
    </row>
    <row r="2" spans="1:8" ht="15" customHeight="1" x14ac:dyDescent="0.2">
      <c r="A2" s="326"/>
      <c r="B2" s="327"/>
      <c r="C2" s="328"/>
      <c r="D2" s="233" t="s">
        <v>59</v>
      </c>
      <c r="E2" s="233" t="s">
        <v>134</v>
      </c>
      <c r="F2" s="234" t="s">
        <v>134</v>
      </c>
      <c r="G2" s="233" t="s">
        <v>134</v>
      </c>
      <c r="H2" s="233" t="s">
        <v>217</v>
      </c>
    </row>
    <row r="3" spans="1:8" ht="15" customHeight="1" x14ac:dyDescent="0.2">
      <c r="A3" s="329" t="s">
        <v>60</v>
      </c>
      <c r="B3" s="330"/>
      <c r="C3" s="235">
        <v>0.06</v>
      </c>
      <c r="D3" s="236" t="s">
        <v>58</v>
      </c>
      <c r="E3" s="164" t="s">
        <v>137</v>
      </c>
      <c r="F3" s="242" t="s">
        <v>138</v>
      </c>
      <c r="G3" s="164" t="s">
        <v>139</v>
      </c>
      <c r="H3" s="164" t="s">
        <v>216</v>
      </c>
    </row>
    <row r="4" spans="1:8" ht="15" customHeight="1" x14ac:dyDescent="0.2">
      <c r="A4" s="320" t="s">
        <v>293</v>
      </c>
      <c r="B4" s="321"/>
      <c r="C4" s="322"/>
      <c r="D4" s="52"/>
      <c r="E4" s="296"/>
      <c r="F4" s="243">
        <f>E4*0.2</f>
        <v>0</v>
      </c>
      <c r="G4" s="144" t="str">
        <f>IFERROR((PMT($C$3,D4,E4,-F4,0))*(-1),"0.00")</f>
        <v>0.00</v>
      </c>
      <c r="H4" s="247" t="e">
        <f>E4-G4</f>
        <v>#VALUE!</v>
      </c>
    </row>
    <row r="5" spans="1:8" ht="15" customHeight="1" x14ac:dyDescent="0.2">
      <c r="A5" s="314" t="s">
        <v>294</v>
      </c>
      <c r="B5" s="315"/>
      <c r="C5" s="316"/>
      <c r="D5" s="53"/>
      <c r="E5" s="54"/>
      <c r="F5" s="244">
        <f t="shared" ref="F5:F20" si="0">E5*0.2</f>
        <v>0</v>
      </c>
      <c r="G5" s="145" t="str">
        <f t="shared" ref="G5:G20" si="1">IFERROR((PMT($C$3,D5,E5,-F5,0))*(-1),"0.00")</f>
        <v>0.00</v>
      </c>
      <c r="H5" s="248" t="e">
        <f t="shared" ref="H5:H20" si="2">E5-G5</f>
        <v>#VALUE!</v>
      </c>
    </row>
    <row r="6" spans="1:8" ht="15" customHeight="1" x14ac:dyDescent="0.2">
      <c r="A6" s="314" t="s">
        <v>295</v>
      </c>
      <c r="B6" s="315"/>
      <c r="C6" s="316"/>
      <c r="D6" s="53"/>
      <c r="E6" s="54"/>
      <c r="F6" s="244">
        <f t="shared" si="0"/>
        <v>0</v>
      </c>
      <c r="G6" s="145" t="str">
        <f t="shared" si="1"/>
        <v>0.00</v>
      </c>
      <c r="H6" s="248" t="e">
        <f t="shared" si="2"/>
        <v>#VALUE!</v>
      </c>
    </row>
    <row r="7" spans="1:8" ht="15" customHeight="1" x14ac:dyDescent="0.2">
      <c r="A7" s="314" t="s">
        <v>296</v>
      </c>
      <c r="B7" s="315"/>
      <c r="C7" s="316"/>
      <c r="D7" s="53"/>
      <c r="E7" s="54"/>
      <c r="F7" s="244">
        <f t="shared" si="0"/>
        <v>0</v>
      </c>
      <c r="G7" s="145" t="str">
        <f t="shared" si="1"/>
        <v>0.00</v>
      </c>
      <c r="H7" s="248" t="e">
        <f t="shared" si="2"/>
        <v>#VALUE!</v>
      </c>
    </row>
    <row r="8" spans="1:8" ht="15" customHeight="1" x14ac:dyDescent="0.2">
      <c r="A8" s="314" t="s">
        <v>119</v>
      </c>
      <c r="B8" s="315"/>
      <c r="C8" s="316"/>
      <c r="D8" s="53"/>
      <c r="E8" s="54"/>
      <c r="F8" s="244">
        <f t="shared" si="0"/>
        <v>0</v>
      </c>
      <c r="G8" s="145" t="str">
        <f t="shared" si="1"/>
        <v>0.00</v>
      </c>
      <c r="H8" s="248" t="e">
        <f t="shared" si="2"/>
        <v>#VALUE!</v>
      </c>
    </row>
    <row r="9" spans="1:8" ht="15" customHeight="1" x14ac:dyDescent="0.2">
      <c r="A9" s="314" t="s">
        <v>56</v>
      </c>
      <c r="B9" s="315"/>
      <c r="C9" s="316"/>
      <c r="D9" s="55"/>
      <c r="E9" s="54"/>
      <c r="F9" s="244">
        <f t="shared" si="0"/>
        <v>0</v>
      </c>
      <c r="G9" s="145" t="str">
        <f t="shared" si="1"/>
        <v>0.00</v>
      </c>
      <c r="H9" s="248" t="e">
        <f t="shared" si="2"/>
        <v>#VALUE!</v>
      </c>
    </row>
    <row r="10" spans="1:8" ht="15" customHeight="1" x14ac:dyDescent="0.2">
      <c r="A10" s="314" t="s">
        <v>297</v>
      </c>
      <c r="B10" s="315"/>
      <c r="C10" s="316"/>
      <c r="D10" s="86"/>
      <c r="E10" s="54"/>
      <c r="F10" s="244">
        <f t="shared" si="0"/>
        <v>0</v>
      </c>
      <c r="G10" s="145" t="str">
        <f t="shared" si="1"/>
        <v>0.00</v>
      </c>
      <c r="H10" s="248" t="e">
        <f t="shared" si="2"/>
        <v>#VALUE!</v>
      </c>
    </row>
    <row r="11" spans="1:8" ht="15" customHeight="1" x14ac:dyDescent="0.2">
      <c r="A11" s="314" t="s">
        <v>120</v>
      </c>
      <c r="B11" s="315"/>
      <c r="C11" s="316"/>
      <c r="D11" s="53"/>
      <c r="E11" s="54"/>
      <c r="F11" s="244">
        <f t="shared" si="0"/>
        <v>0</v>
      </c>
      <c r="G11" s="145" t="str">
        <f t="shared" si="1"/>
        <v>0.00</v>
      </c>
      <c r="H11" s="248" t="e">
        <f t="shared" si="2"/>
        <v>#VALUE!</v>
      </c>
    </row>
    <row r="12" spans="1:8" ht="15" customHeight="1" x14ac:dyDescent="0.2">
      <c r="A12" s="314" t="s">
        <v>117</v>
      </c>
      <c r="B12" s="315"/>
      <c r="C12" s="316"/>
      <c r="D12" s="53"/>
      <c r="E12" s="54"/>
      <c r="F12" s="244">
        <f t="shared" si="0"/>
        <v>0</v>
      </c>
      <c r="G12" s="145" t="str">
        <f t="shared" si="1"/>
        <v>0.00</v>
      </c>
      <c r="H12" s="248" t="e">
        <f t="shared" si="2"/>
        <v>#VALUE!</v>
      </c>
    </row>
    <row r="13" spans="1:8" ht="15" customHeight="1" x14ac:dyDescent="0.2">
      <c r="A13" s="314" t="s">
        <v>298</v>
      </c>
      <c r="B13" s="315"/>
      <c r="C13" s="316"/>
      <c r="D13" s="53"/>
      <c r="E13" s="54"/>
      <c r="F13" s="244">
        <f t="shared" si="0"/>
        <v>0</v>
      </c>
      <c r="G13" s="145" t="str">
        <f t="shared" si="1"/>
        <v>0.00</v>
      </c>
      <c r="H13" s="248" t="e">
        <f t="shared" si="2"/>
        <v>#VALUE!</v>
      </c>
    </row>
    <row r="14" spans="1:8" ht="15" customHeight="1" x14ac:dyDescent="0.2">
      <c r="A14" s="314" t="s">
        <v>299</v>
      </c>
      <c r="B14" s="315"/>
      <c r="C14" s="316"/>
      <c r="D14" s="53"/>
      <c r="E14" s="54"/>
      <c r="F14" s="244">
        <f t="shared" si="0"/>
        <v>0</v>
      </c>
      <c r="G14" s="145" t="str">
        <f t="shared" si="1"/>
        <v>0.00</v>
      </c>
      <c r="H14" s="248" t="e">
        <f t="shared" si="2"/>
        <v>#VALUE!</v>
      </c>
    </row>
    <row r="15" spans="1:8" ht="15" customHeight="1" x14ac:dyDescent="0.2">
      <c r="A15" s="314" t="s">
        <v>118</v>
      </c>
      <c r="B15" s="315"/>
      <c r="C15" s="316"/>
      <c r="D15" s="53"/>
      <c r="E15" s="54"/>
      <c r="F15" s="244">
        <f t="shared" si="0"/>
        <v>0</v>
      </c>
      <c r="G15" s="145" t="str">
        <f t="shared" si="1"/>
        <v>0.00</v>
      </c>
      <c r="H15" s="248" t="e">
        <f t="shared" si="2"/>
        <v>#VALUE!</v>
      </c>
    </row>
    <row r="16" spans="1:8" ht="15" customHeight="1" x14ac:dyDescent="0.2">
      <c r="A16" s="314" t="s">
        <v>55</v>
      </c>
      <c r="B16" s="315"/>
      <c r="C16" s="316"/>
      <c r="D16" s="53"/>
      <c r="E16" s="54"/>
      <c r="F16" s="244">
        <f t="shared" si="0"/>
        <v>0</v>
      </c>
      <c r="G16" s="145" t="str">
        <f t="shared" si="1"/>
        <v>0.00</v>
      </c>
      <c r="H16" s="248" t="e">
        <f t="shared" si="2"/>
        <v>#VALUE!</v>
      </c>
    </row>
    <row r="17" spans="1:8" ht="15" customHeight="1" x14ac:dyDescent="0.2">
      <c r="A17" s="84" t="s">
        <v>300</v>
      </c>
      <c r="B17" s="87"/>
      <c r="C17" s="85"/>
      <c r="D17" s="53"/>
      <c r="E17" s="54"/>
      <c r="F17" s="244">
        <f t="shared" si="0"/>
        <v>0</v>
      </c>
      <c r="G17" s="145" t="str">
        <f t="shared" si="1"/>
        <v>0.00</v>
      </c>
      <c r="H17" s="248" t="e">
        <f t="shared" si="2"/>
        <v>#VALUE!</v>
      </c>
    </row>
    <row r="18" spans="1:8" ht="15" customHeight="1" x14ac:dyDescent="0.2">
      <c r="A18" s="314" t="s">
        <v>301</v>
      </c>
      <c r="B18" s="315"/>
      <c r="C18" s="316"/>
      <c r="D18" s="53"/>
      <c r="E18" s="54"/>
      <c r="F18" s="244">
        <f t="shared" si="0"/>
        <v>0</v>
      </c>
      <c r="G18" s="145" t="str">
        <f t="shared" si="1"/>
        <v>0.00</v>
      </c>
      <c r="H18" s="248" t="e">
        <f t="shared" si="2"/>
        <v>#VALUE!</v>
      </c>
    </row>
    <row r="19" spans="1:8" ht="15" customHeight="1" x14ac:dyDescent="0.2">
      <c r="A19" s="314" t="s">
        <v>132</v>
      </c>
      <c r="B19" s="315"/>
      <c r="C19" s="316"/>
      <c r="D19" s="53"/>
      <c r="E19" s="54"/>
      <c r="F19" s="244">
        <f t="shared" si="0"/>
        <v>0</v>
      </c>
      <c r="G19" s="145" t="str">
        <f t="shared" si="1"/>
        <v>0.00</v>
      </c>
      <c r="H19" s="248" t="e">
        <f t="shared" si="2"/>
        <v>#VALUE!</v>
      </c>
    </row>
    <row r="20" spans="1:8" ht="15" customHeight="1" x14ac:dyDescent="0.2">
      <c r="A20" s="317" t="s">
        <v>121</v>
      </c>
      <c r="B20" s="318"/>
      <c r="C20" s="319"/>
      <c r="D20" s="56"/>
      <c r="E20" s="297"/>
      <c r="F20" s="245">
        <f t="shared" si="0"/>
        <v>0</v>
      </c>
      <c r="G20" s="146" t="str">
        <f t="shared" si="1"/>
        <v>0.00</v>
      </c>
      <c r="H20" s="249" t="e">
        <f t="shared" si="2"/>
        <v>#VALUE!</v>
      </c>
    </row>
    <row r="21" spans="1:8" ht="15" customHeight="1" x14ac:dyDescent="0.2">
      <c r="A21" s="303" t="s">
        <v>2</v>
      </c>
      <c r="B21" s="304"/>
      <c r="C21" s="305"/>
      <c r="D21" s="105" t="s">
        <v>0</v>
      </c>
      <c r="E21" s="105">
        <f>SUM(E4:E20)</f>
        <v>0</v>
      </c>
      <c r="F21" s="246" t="s">
        <v>0</v>
      </c>
      <c r="G21" s="105">
        <f>SUM(G4:G20)</f>
        <v>0</v>
      </c>
    </row>
    <row r="23" spans="1:8" ht="15" customHeight="1" x14ac:dyDescent="0.2">
      <c r="A23" s="13"/>
      <c r="B23" s="13"/>
      <c r="C23" s="13"/>
      <c r="D23" s="13"/>
      <c r="E23" s="13"/>
      <c r="F23" s="13"/>
      <c r="G23" s="13"/>
      <c r="H23" s="13"/>
    </row>
    <row r="24" spans="1:8" ht="15" customHeight="1" x14ac:dyDescent="0.2">
      <c r="A24" s="13"/>
      <c r="B24" s="13"/>
      <c r="C24" s="13"/>
      <c r="D24" s="13"/>
      <c r="E24" s="13"/>
      <c r="F24" s="13"/>
      <c r="G24" s="13"/>
      <c r="H24" s="13"/>
    </row>
    <row r="25" spans="1:8" ht="15" customHeight="1" x14ac:dyDescent="0.2">
      <c r="A25" s="13"/>
      <c r="B25" s="13"/>
      <c r="C25" s="13"/>
      <c r="D25" s="13"/>
      <c r="E25" s="13"/>
      <c r="F25" s="13"/>
      <c r="G25" s="13"/>
      <c r="H25" s="13"/>
    </row>
    <row r="26" spans="1:8" ht="15" customHeight="1" x14ac:dyDescent="0.2">
      <c r="A26" s="13"/>
      <c r="B26" s="13"/>
      <c r="C26" s="13"/>
      <c r="D26" s="13"/>
      <c r="E26" s="13"/>
      <c r="F26" s="13"/>
      <c r="G26" s="13"/>
      <c r="H26" s="13"/>
    </row>
    <row r="27" spans="1:8" ht="15" customHeight="1" x14ac:dyDescent="0.2">
      <c r="A27" s="13"/>
      <c r="B27" s="13"/>
      <c r="C27" s="13"/>
      <c r="D27" s="13"/>
      <c r="E27" s="13"/>
      <c r="F27" s="13"/>
      <c r="G27" s="13"/>
      <c r="H27" s="13"/>
    </row>
    <row r="28" spans="1:8" ht="15" customHeight="1" x14ac:dyDescent="0.2">
      <c r="A28" s="13"/>
      <c r="B28" s="13"/>
      <c r="C28" s="13"/>
      <c r="D28" s="13"/>
      <c r="E28" s="13"/>
      <c r="F28" s="13"/>
      <c r="G28" s="13"/>
      <c r="H28" s="13"/>
    </row>
    <row r="29" spans="1:8" ht="15" customHeight="1" x14ac:dyDescent="0.2">
      <c r="A29" s="13"/>
      <c r="B29" s="13"/>
      <c r="C29" s="13"/>
      <c r="D29" s="13"/>
      <c r="E29" s="13"/>
      <c r="F29" s="13"/>
      <c r="G29" s="13"/>
      <c r="H29" s="13"/>
    </row>
    <row r="30" spans="1:8" ht="15" customHeight="1" x14ac:dyDescent="0.2">
      <c r="A30" s="13"/>
      <c r="B30" s="13"/>
      <c r="C30" s="13"/>
      <c r="D30" s="13"/>
      <c r="E30" s="13"/>
      <c r="F30" s="13"/>
      <c r="G30" s="13"/>
      <c r="H30" s="13"/>
    </row>
    <row r="31" spans="1:8" ht="15" customHeight="1" x14ac:dyDescent="0.2">
      <c r="A31" s="13"/>
      <c r="B31" s="13"/>
      <c r="C31" s="13"/>
      <c r="D31" s="13"/>
      <c r="E31" s="13"/>
      <c r="F31" s="13"/>
      <c r="G31" s="13"/>
      <c r="H31" s="13"/>
    </row>
    <row r="32" spans="1:8" ht="15" customHeight="1" x14ac:dyDescent="0.2">
      <c r="A32" s="13"/>
      <c r="B32" s="13"/>
      <c r="C32" s="13"/>
      <c r="D32" s="13"/>
      <c r="E32" s="13"/>
      <c r="F32" s="13"/>
      <c r="G32" s="13"/>
      <c r="H32" s="13"/>
    </row>
    <row r="33" spans="1:8" ht="15" customHeight="1" x14ac:dyDescent="0.2">
      <c r="A33" s="13"/>
      <c r="B33" s="13"/>
      <c r="C33" s="13"/>
      <c r="D33" s="13"/>
      <c r="E33" s="13"/>
      <c r="F33" s="13"/>
      <c r="G33" s="13"/>
      <c r="H33" s="13"/>
    </row>
    <row r="34" spans="1:8" ht="15" customHeight="1" x14ac:dyDescent="0.2">
      <c r="A34" s="13"/>
      <c r="B34" s="13"/>
      <c r="C34" s="13"/>
      <c r="D34" s="13"/>
      <c r="E34" s="13"/>
      <c r="F34" s="13"/>
      <c r="G34" s="13"/>
      <c r="H34" s="13"/>
    </row>
    <row r="35" spans="1:8" ht="15" customHeight="1" x14ac:dyDescent="0.2">
      <c r="A35" s="13"/>
      <c r="B35" s="13"/>
      <c r="C35" s="13"/>
      <c r="D35" s="13"/>
      <c r="E35" s="13"/>
      <c r="F35" s="13"/>
      <c r="G35" s="13"/>
      <c r="H35" s="13"/>
    </row>
    <row r="36" spans="1:8" ht="15" customHeight="1" x14ac:dyDescent="0.2">
      <c r="A36" s="13"/>
      <c r="B36" s="13"/>
      <c r="C36" s="13"/>
      <c r="D36" s="13"/>
      <c r="E36" s="13"/>
      <c r="F36" s="13"/>
      <c r="G36" s="13"/>
      <c r="H36" s="13"/>
    </row>
    <row r="37" spans="1:8" ht="15" customHeight="1" x14ac:dyDescent="0.2">
      <c r="A37" s="13"/>
      <c r="B37" s="13"/>
      <c r="C37" s="13"/>
      <c r="D37" s="13"/>
      <c r="E37" s="13"/>
      <c r="F37" s="13"/>
      <c r="G37" s="13"/>
      <c r="H37" s="13"/>
    </row>
    <row r="38" spans="1:8" ht="15" customHeight="1" x14ac:dyDescent="0.2">
      <c r="A38" s="13"/>
      <c r="B38" s="13"/>
      <c r="C38" s="13"/>
      <c r="D38" s="13"/>
      <c r="E38" s="13"/>
      <c r="F38" s="13"/>
      <c r="G38" s="13"/>
      <c r="H38" s="13"/>
    </row>
    <row r="39" spans="1:8" ht="15" customHeight="1" x14ac:dyDescent="0.2">
      <c r="A39" s="13"/>
      <c r="B39" s="13"/>
      <c r="C39" s="13"/>
      <c r="D39" s="13"/>
      <c r="E39" s="13"/>
      <c r="F39" s="13"/>
      <c r="G39" s="13"/>
      <c r="H39" s="13"/>
    </row>
    <row r="40" spans="1:8" ht="15" customHeight="1" x14ac:dyDescent="0.2">
      <c r="A40" s="13"/>
      <c r="B40" s="13"/>
      <c r="C40" s="13"/>
      <c r="D40" s="13"/>
      <c r="E40" s="13"/>
      <c r="F40" s="13"/>
      <c r="G40" s="13"/>
      <c r="H40" s="13"/>
    </row>
    <row r="41" spans="1:8" ht="15" customHeight="1" x14ac:dyDescent="0.2">
      <c r="A41" s="13"/>
      <c r="B41" s="13"/>
      <c r="C41" s="13"/>
      <c r="D41" s="13"/>
      <c r="E41" s="13"/>
      <c r="F41" s="13"/>
      <c r="G41" s="13"/>
      <c r="H41" s="13"/>
    </row>
    <row r="42" spans="1:8" ht="15" customHeight="1" x14ac:dyDescent="0.2">
      <c r="A42" s="13"/>
      <c r="B42" s="13"/>
      <c r="C42" s="13"/>
      <c r="D42" s="13"/>
      <c r="E42" s="13"/>
      <c r="F42" s="13"/>
      <c r="G42" s="13"/>
      <c r="H42" s="13"/>
    </row>
    <row r="43" spans="1:8" ht="15" customHeight="1" x14ac:dyDescent="0.2">
      <c r="A43" s="13"/>
      <c r="B43" s="13"/>
      <c r="C43" s="13"/>
      <c r="D43" s="13"/>
      <c r="E43" s="13"/>
      <c r="F43" s="13"/>
      <c r="G43" s="13"/>
      <c r="H43" s="13"/>
    </row>
    <row r="44" spans="1:8" ht="15" customHeight="1" x14ac:dyDescent="0.2">
      <c r="A44" s="13"/>
      <c r="B44" s="13"/>
      <c r="C44" s="13"/>
      <c r="D44" s="13"/>
      <c r="E44" s="13"/>
      <c r="F44" s="13"/>
      <c r="G44" s="13"/>
      <c r="H44" s="13"/>
    </row>
    <row r="45" spans="1:8" ht="15" customHeight="1" x14ac:dyDescent="0.2">
      <c r="A45" s="13"/>
      <c r="B45" s="13"/>
      <c r="C45" s="13"/>
      <c r="D45" s="13"/>
      <c r="E45" s="13"/>
      <c r="F45" s="13"/>
      <c r="G45" s="13"/>
      <c r="H45" s="13"/>
    </row>
    <row r="46" spans="1:8" ht="15" customHeight="1" x14ac:dyDescent="0.2">
      <c r="A46" s="13"/>
      <c r="B46" s="13"/>
      <c r="C46" s="13"/>
      <c r="D46" s="13"/>
      <c r="E46" s="13"/>
      <c r="F46" s="13"/>
      <c r="G46" s="13"/>
      <c r="H46" s="13"/>
    </row>
    <row r="47" spans="1:8" ht="15" customHeight="1" x14ac:dyDescent="0.2">
      <c r="A47" s="13"/>
      <c r="B47" s="13"/>
      <c r="C47" s="13"/>
      <c r="D47" s="13"/>
      <c r="E47" s="13"/>
      <c r="F47" s="13"/>
      <c r="G47" s="13"/>
      <c r="H47" s="13"/>
    </row>
  </sheetData>
  <customSheetViews>
    <customSheetView guid="{97A6A664-2357-4472-A4F3-F41AC18A86A2}" scale="120">
      <selection sqref="A1:F1"/>
      <pageMargins left="0.78740157480314965" right="0.78740157480314965" top="0.98425196850393704" bottom="0.98425196850393704" header="0.51181102362204722" footer="0.51181102362204722"/>
      <pageSetup paperSize="9" orientation="portrait" r:id="rId1"/>
      <headerFooter alignWithMargins="0"/>
    </customSheetView>
  </customSheetViews>
  <mergeCells count="20">
    <mergeCell ref="A12:C12"/>
    <mergeCell ref="A6:C6"/>
    <mergeCell ref="A4:C4"/>
    <mergeCell ref="A1:F1"/>
    <mergeCell ref="A2:C2"/>
    <mergeCell ref="A3:B3"/>
    <mergeCell ref="A5:C5"/>
    <mergeCell ref="A7:C7"/>
    <mergeCell ref="A8:C8"/>
    <mergeCell ref="A9:C9"/>
    <mergeCell ref="A10:C10"/>
    <mergeCell ref="A11:C11"/>
    <mergeCell ref="A18:C18"/>
    <mergeCell ref="A19:C19"/>
    <mergeCell ref="A20:C20"/>
    <mergeCell ref="A21:C21"/>
    <mergeCell ref="A13:C13"/>
    <mergeCell ref="A14:C14"/>
    <mergeCell ref="A15:C15"/>
    <mergeCell ref="A16:C16"/>
  </mergeCells>
  <pageMargins left="0.78740157480314965" right="0.78740157480314965" top="0.98425196850393704" bottom="0.98425196850393704" header="0.51181102362204722" footer="0.51181102362204722"/>
  <pageSetup paperSize="9" orientation="portrait" r:id="rId2"/>
  <headerFooter alignWithMargins="0"/>
  <ignoredErrors>
    <ignoredError sqref="F4:F20" unlockedFormula="1"/>
  </ignoredError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8"/>
  <sheetViews>
    <sheetView showGridLines="0" zoomScaleNormal="100" workbookViewId="0">
      <selection activeCell="A22" sqref="A22:B22"/>
    </sheetView>
  </sheetViews>
  <sheetFormatPr defaultColWidth="8.85546875" defaultRowHeight="15" customHeight="1" x14ac:dyDescent="0.2"/>
  <cols>
    <col min="1" max="1" width="35.42578125" style="58" customWidth="1"/>
    <col min="2" max="2" width="6.42578125" style="58" customWidth="1"/>
    <col min="3" max="3" width="10.140625" style="58" customWidth="1"/>
    <col min="4" max="4" width="11.7109375" style="58" customWidth="1"/>
    <col min="5" max="5" width="13.85546875" style="58" customWidth="1"/>
    <col min="6" max="6" width="13.140625" style="58" customWidth="1"/>
    <col min="7" max="7" width="15.7109375" style="9" bestFit="1" customWidth="1"/>
    <col min="8" max="16384" width="8.85546875" style="58"/>
  </cols>
  <sheetData>
    <row r="1" spans="1:7" ht="15" customHeight="1" x14ac:dyDescent="0.2">
      <c r="A1" s="323" t="s">
        <v>153</v>
      </c>
      <c r="B1" s="324"/>
      <c r="C1" s="324"/>
      <c r="D1" s="324"/>
      <c r="E1" s="325"/>
      <c r="F1" s="78">
        <v>2018</v>
      </c>
    </row>
    <row r="2" spans="1:7" ht="15" customHeight="1" x14ac:dyDescent="0.2">
      <c r="A2" s="329"/>
      <c r="B2" s="330"/>
      <c r="C2" s="233" t="s">
        <v>59</v>
      </c>
      <c r="D2" s="233" t="s">
        <v>134</v>
      </c>
      <c r="E2" s="234" t="s">
        <v>134</v>
      </c>
      <c r="F2" s="233" t="s">
        <v>134</v>
      </c>
      <c r="G2" s="233" t="s">
        <v>217</v>
      </c>
    </row>
    <row r="3" spans="1:7" ht="15" customHeight="1" x14ac:dyDescent="0.2">
      <c r="A3" s="176" t="s">
        <v>60</v>
      </c>
      <c r="B3" s="235">
        <v>0.06</v>
      </c>
      <c r="C3" s="236" t="s">
        <v>58</v>
      </c>
      <c r="D3" s="164" t="s">
        <v>137</v>
      </c>
      <c r="E3" s="236" t="s">
        <v>138</v>
      </c>
      <c r="F3" s="164" t="s">
        <v>139</v>
      </c>
      <c r="G3" s="164" t="s">
        <v>216</v>
      </c>
    </row>
    <row r="4" spans="1:7" ht="15" customHeight="1" x14ac:dyDescent="0.2">
      <c r="A4" s="314" t="s">
        <v>123</v>
      </c>
      <c r="B4" s="316"/>
      <c r="C4" s="59"/>
      <c r="D4" s="54"/>
      <c r="E4" s="237">
        <f t="shared" ref="E4:E21" si="0">D4*0.1</f>
        <v>0</v>
      </c>
      <c r="F4" s="147" t="str">
        <f>IFERROR((PMT($B$3,C4,D4,-E4,0))*(-1),"0.00")</f>
        <v>0.00</v>
      </c>
      <c r="G4" s="255" t="e">
        <f t="shared" ref="G4:G21" si="1">D4-F4</f>
        <v>#VALUE!</v>
      </c>
    </row>
    <row r="5" spans="1:7" ht="15" customHeight="1" x14ac:dyDescent="0.2">
      <c r="A5" s="314" t="s">
        <v>85</v>
      </c>
      <c r="B5" s="316"/>
      <c r="C5" s="59"/>
      <c r="D5" s="54"/>
      <c r="E5" s="237">
        <f>D5*0.1</f>
        <v>0</v>
      </c>
      <c r="F5" s="147" t="str">
        <f t="shared" ref="F5:F21" si="2">IFERROR((PMT($B$3,C5,D5,-E5,0))*(-1),"0.00")</f>
        <v>0.00</v>
      </c>
      <c r="G5" s="256" t="e">
        <f t="shared" si="1"/>
        <v>#VALUE!</v>
      </c>
    </row>
    <row r="6" spans="1:7" ht="15" customHeight="1" x14ac:dyDescent="0.2">
      <c r="A6" s="314" t="s">
        <v>125</v>
      </c>
      <c r="B6" s="316"/>
      <c r="C6" s="59"/>
      <c r="D6" s="54"/>
      <c r="E6" s="237">
        <f t="shared" si="0"/>
        <v>0</v>
      </c>
      <c r="F6" s="147" t="str">
        <f t="shared" si="2"/>
        <v>0.00</v>
      </c>
      <c r="G6" s="256" t="e">
        <f t="shared" si="1"/>
        <v>#VALUE!</v>
      </c>
    </row>
    <row r="7" spans="1:7" ht="15" customHeight="1" x14ac:dyDescent="0.2">
      <c r="A7" s="314" t="s">
        <v>57</v>
      </c>
      <c r="B7" s="316"/>
      <c r="C7" s="59"/>
      <c r="D7" s="54"/>
      <c r="E7" s="237">
        <f t="shared" si="0"/>
        <v>0</v>
      </c>
      <c r="F7" s="147" t="str">
        <f t="shared" si="2"/>
        <v>0.00</v>
      </c>
      <c r="G7" s="256" t="e">
        <f t="shared" si="1"/>
        <v>#VALUE!</v>
      </c>
    </row>
    <row r="8" spans="1:7" ht="15" customHeight="1" x14ac:dyDescent="0.2">
      <c r="A8" s="314" t="s">
        <v>7</v>
      </c>
      <c r="B8" s="316"/>
      <c r="C8" s="59"/>
      <c r="D8" s="54"/>
      <c r="E8" s="237">
        <f t="shared" si="0"/>
        <v>0</v>
      </c>
      <c r="F8" s="147" t="str">
        <f t="shared" si="2"/>
        <v>0.00</v>
      </c>
      <c r="G8" s="256" t="e">
        <f t="shared" si="1"/>
        <v>#VALUE!</v>
      </c>
    </row>
    <row r="9" spans="1:7" ht="15" customHeight="1" x14ac:dyDescent="0.2">
      <c r="A9" s="314" t="s">
        <v>127</v>
      </c>
      <c r="B9" s="316"/>
      <c r="C9" s="59"/>
      <c r="D9" s="54"/>
      <c r="E9" s="237">
        <f t="shared" si="0"/>
        <v>0</v>
      </c>
      <c r="F9" s="147" t="str">
        <f t="shared" si="2"/>
        <v>0.00</v>
      </c>
      <c r="G9" s="256" t="e">
        <f t="shared" si="1"/>
        <v>#VALUE!</v>
      </c>
    </row>
    <row r="10" spans="1:7" ht="15" customHeight="1" x14ac:dyDescent="0.2">
      <c r="A10" s="314" t="s">
        <v>288</v>
      </c>
      <c r="B10" s="316"/>
      <c r="C10" s="59"/>
      <c r="D10" s="54"/>
      <c r="E10" s="237">
        <f t="shared" si="0"/>
        <v>0</v>
      </c>
      <c r="F10" s="147" t="str">
        <f t="shared" si="2"/>
        <v>0.00</v>
      </c>
      <c r="G10" s="256" t="e">
        <f t="shared" si="1"/>
        <v>#VALUE!</v>
      </c>
    </row>
    <row r="11" spans="1:7" ht="15" customHeight="1" x14ac:dyDescent="0.2">
      <c r="A11" s="314" t="s">
        <v>122</v>
      </c>
      <c r="B11" s="316"/>
      <c r="C11" s="59"/>
      <c r="D11" s="54"/>
      <c r="E11" s="237">
        <f t="shared" si="0"/>
        <v>0</v>
      </c>
      <c r="F11" s="147" t="str">
        <f t="shared" si="2"/>
        <v>0.00</v>
      </c>
      <c r="G11" s="256" t="e">
        <f t="shared" si="1"/>
        <v>#VALUE!</v>
      </c>
    </row>
    <row r="12" spans="1:7" ht="15" customHeight="1" x14ac:dyDescent="0.2">
      <c r="A12" s="314" t="s">
        <v>126</v>
      </c>
      <c r="B12" s="316"/>
      <c r="C12" s="59"/>
      <c r="D12" s="54"/>
      <c r="E12" s="237">
        <f t="shared" si="0"/>
        <v>0</v>
      </c>
      <c r="F12" s="147" t="str">
        <f t="shared" si="2"/>
        <v>0.00</v>
      </c>
      <c r="G12" s="256" t="e">
        <f t="shared" si="1"/>
        <v>#VALUE!</v>
      </c>
    </row>
    <row r="13" spans="1:7" ht="15" customHeight="1" x14ac:dyDescent="0.2">
      <c r="A13" s="314" t="s">
        <v>86</v>
      </c>
      <c r="B13" s="316"/>
      <c r="C13" s="59"/>
      <c r="D13" s="54"/>
      <c r="E13" s="237">
        <f t="shared" si="0"/>
        <v>0</v>
      </c>
      <c r="F13" s="147" t="str">
        <f t="shared" si="2"/>
        <v>0.00</v>
      </c>
      <c r="G13" s="256" t="e">
        <f t="shared" si="1"/>
        <v>#VALUE!</v>
      </c>
    </row>
    <row r="14" spans="1:7" ht="15" customHeight="1" x14ac:dyDescent="0.2">
      <c r="A14" s="314" t="s">
        <v>289</v>
      </c>
      <c r="B14" s="316"/>
      <c r="C14" s="59"/>
      <c r="D14" s="54"/>
      <c r="E14" s="237">
        <f t="shared" si="0"/>
        <v>0</v>
      </c>
      <c r="F14" s="147" t="str">
        <f t="shared" si="2"/>
        <v>0.00</v>
      </c>
      <c r="G14" s="256" t="e">
        <f t="shared" si="1"/>
        <v>#VALUE!</v>
      </c>
    </row>
    <row r="15" spans="1:7" ht="15" customHeight="1" x14ac:dyDescent="0.2">
      <c r="A15" s="314" t="s">
        <v>3</v>
      </c>
      <c r="B15" s="316"/>
      <c r="C15" s="59"/>
      <c r="D15" s="54"/>
      <c r="E15" s="237">
        <f t="shared" si="0"/>
        <v>0</v>
      </c>
      <c r="F15" s="147" t="str">
        <f t="shared" si="2"/>
        <v>0.00</v>
      </c>
      <c r="G15" s="256" t="e">
        <f t="shared" si="1"/>
        <v>#VALUE!</v>
      </c>
    </row>
    <row r="16" spans="1:7" ht="15" customHeight="1" x14ac:dyDescent="0.2">
      <c r="A16" s="314" t="s">
        <v>131</v>
      </c>
      <c r="B16" s="316"/>
      <c r="C16" s="59"/>
      <c r="D16" s="54"/>
      <c r="E16" s="237">
        <f t="shared" si="0"/>
        <v>0</v>
      </c>
      <c r="F16" s="147" t="str">
        <f t="shared" si="2"/>
        <v>0.00</v>
      </c>
      <c r="G16" s="256" t="e">
        <f t="shared" si="1"/>
        <v>#VALUE!</v>
      </c>
    </row>
    <row r="17" spans="1:7" ht="15" customHeight="1" x14ac:dyDescent="0.2">
      <c r="A17" s="314" t="s">
        <v>290</v>
      </c>
      <c r="B17" s="316"/>
      <c r="C17" s="59"/>
      <c r="D17" s="54"/>
      <c r="E17" s="237">
        <f t="shared" si="0"/>
        <v>0</v>
      </c>
      <c r="F17" s="147" t="str">
        <f t="shared" si="2"/>
        <v>0.00</v>
      </c>
      <c r="G17" s="256" t="e">
        <f t="shared" si="1"/>
        <v>#VALUE!</v>
      </c>
    </row>
    <row r="18" spans="1:7" ht="15" customHeight="1" x14ac:dyDescent="0.2">
      <c r="A18" s="314" t="s">
        <v>291</v>
      </c>
      <c r="B18" s="316"/>
      <c r="C18" s="59"/>
      <c r="D18" s="54"/>
      <c r="E18" s="237">
        <f t="shared" si="0"/>
        <v>0</v>
      </c>
      <c r="F18" s="147" t="str">
        <f t="shared" si="2"/>
        <v>0.00</v>
      </c>
      <c r="G18" s="256" t="e">
        <f t="shared" si="1"/>
        <v>#VALUE!</v>
      </c>
    </row>
    <row r="19" spans="1:7" ht="15" customHeight="1" x14ac:dyDescent="0.2">
      <c r="A19" s="331" t="s">
        <v>6</v>
      </c>
      <c r="B19" s="332"/>
      <c r="C19" s="83"/>
      <c r="D19" s="54"/>
      <c r="E19" s="238">
        <f t="shared" si="0"/>
        <v>0</v>
      </c>
      <c r="F19" s="148" t="str">
        <f t="shared" si="2"/>
        <v>0.00</v>
      </c>
      <c r="G19" s="256" t="e">
        <f t="shared" si="1"/>
        <v>#VALUE!</v>
      </c>
    </row>
    <row r="20" spans="1:7" ht="15" customHeight="1" x14ac:dyDescent="0.2">
      <c r="A20" s="314" t="s">
        <v>124</v>
      </c>
      <c r="B20" s="316"/>
      <c r="C20" s="59"/>
      <c r="D20" s="54"/>
      <c r="E20" s="239">
        <f t="shared" si="0"/>
        <v>0</v>
      </c>
      <c r="F20" s="147" t="str">
        <f t="shared" si="2"/>
        <v>0.00</v>
      </c>
      <c r="G20" s="256" t="e">
        <f t="shared" si="1"/>
        <v>#VALUE!</v>
      </c>
    </row>
    <row r="21" spans="1:7" ht="15" customHeight="1" x14ac:dyDescent="0.2">
      <c r="A21" s="317" t="s">
        <v>292</v>
      </c>
      <c r="B21" s="319"/>
      <c r="C21" s="60"/>
      <c r="D21" s="54"/>
      <c r="E21" s="240">
        <f t="shared" si="0"/>
        <v>0</v>
      </c>
      <c r="F21" s="149" t="str">
        <f t="shared" si="2"/>
        <v>0.00</v>
      </c>
      <c r="G21" s="257" t="e">
        <f t="shared" si="1"/>
        <v>#VALUE!</v>
      </c>
    </row>
    <row r="22" spans="1:7" ht="15" customHeight="1" x14ac:dyDescent="0.2">
      <c r="A22" s="303" t="s">
        <v>2</v>
      </c>
      <c r="B22" s="305"/>
      <c r="C22" s="105" t="s">
        <v>0</v>
      </c>
      <c r="D22" s="105">
        <f>SUM(D4:D21)</f>
        <v>0</v>
      </c>
      <c r="E22" s="241" t="s">
        <v>0</v>
      </c>
      <c r="F22" s="105">
        <f>SUM(F4:F21)</f>
        <v>0</v>
      </c>
    </row>
    <row r="24" spans="1:7" ht="15" customHeight="1" x14ac:dyDescent="0.2">
      <c r="G24" s="58"/>
    </row>
    <row r="25" spans="1:7" ht="15" customHeight="1" x14ac:dyDescent="0.2">
      <c r="G25" s="58"/>
    </row>
    <row r="26" spans="1:7" ht="15" customHeight="1" x14ac:dyDescent="0.2">
      <c r="G26" s="58"/>
    </row>
    <row r="27" spans="1:7" ht="15" customHeight="1" x14ac:dyDescent="0.2">
      <c r="G27" s="58"/>
    </row>
    <row r="28" spans="1:7" ht="15" customHeight="1" x14ac:dyDescent="0.2">
      <c r="G28" s="58"/>
    </row>
    <row r="29" spans="1:7" ht="15" customHeight="1" x14ac:dyDescent="0.2">
      <c r="G29" s="58"/>
    </row>
    <row r="30" spans="1:7" ht="15" customHeight="1" x14ac:dyDescent="0.2">
      <c r="G30" s="58"/>
    </row>
    <row r="31" spans="1:7" ht="15" customHeight="1" x14ac:dyDescent="0.2">
      <c r="G31" s="58"/>
    </row>
    <row r="32" spans="1:7" ht="15" customHeight="1" x14ac:dyDescent="0.2">
      <c r="G32" s="58"/>
    </row>
    <row r="33" spans="7:7" ht="15" customHeight="1" x14ac:dyDescent="0.2">
      <c r="G33" s="58"/>
    </row>
    <row r="34" spans="7:7" ht="15" customHeight="1" x14ac:dyDescent="0.2">
      <c r="G34" s="58"/>
    </row>
    <row r="35" spans="7:7" ht="15" customHeight="1" x14ac:dyDescent="0.2">
      <c r="G35" s="58"/>
    </row>
    <row r="36" spans="7:7" ht="15" customHeight="1" x14ac:dyDescent="0.2">
      <c r="G36" s="58"/>
    </row>
    <row r="37" spans="7:7" ht="15" customHeight="1" x14ac:dyDescent="0.2">
      <c r="G37" s="58"/>
    </row>
    <row r="38" spans="7:7" ht="15" customHeight="1" x14ac:dyDescent="0.2">
      <c r="G38" s="58"/>
    </row>
    <row r="39" spans="7:7" ht="15" customHeight="1" x14ac:dyDescent="0.2">
      <c r="G39" s="58"/>
    </row>
    <row r="40" spans="7:7" ht="15" customHeight="1" x14ac:dyDescent="0.2">
      <c r="G40" s="58"/>
    </row>
    <row r="41" spans="7:7" ht="15" customHeight="1" x14ac:dyDescent="0.2">
      <c r="G41" s="58"/>
    </row>
    <row r="42" spans="7:7" ht="15" customHeight="1" x14ac:dyDescent="0.2">
      <c r="G42" s="58"/>
    </row>
    <row r="43" spans="7:7" ht="15" customHeight="1" x14ac:dyDescent="0.2">
      <c r="G43" s="58"/>
    </row>
    <row r="44" spans="7:7" ht="15" customHeight="1" x14ac:dyDescent="0.2">
      <c r="G44" s="58"/>
    </row>
    <row r="45" spans="7:7" ht="15" customHeight="1" x14ac:dyDescent="0.2">
      <c r="G45" s="58"/>
    </row>
    <row r="46" spans="7:7" ht="15" customHeight="1" x14ac:dyDescent="0.2">
      <c r="G46" s="58"/>
    </row>
    <row r="47" spans="7:7" ht="15" customHeight="1" x14ac:dyDescent="0.2">
      <c r="G47" s="58"/>
    </row>
    <row r="48" spans="7:7" ht="15" customHeight="1" x14ac:dyDescent="0.2">
      <c r="G48" s="58"/>
    </row>
  </sheetData>
  <customSheetViews>
    <customSheetView guid="{97A6A664-2357-4472-A4F3-F41AC18A86A2}" scale="120">
      <selection sqref="A1:E1"/>
      <pageMargins left="0.78740157499999996" right="0.78740157499999996" top="0.984251969" bottom="0.984251969" header="0.49212598499999999" footer="0.49212598499999999"/>
      <pageSetup paperSize="9" orientation="portrait" r:id="rId1"/>
      <headerFooter alignWithMargins="0"/>
    </customSheetView>
  </customSheetViews>
  <mergeCells count="21">
    <mergeCell ref="A1:E1"/>
    <mergeCell ref="A2:B2"/>
    <mergeCell ref="A4:B4"/>
    <mergeCell ref="A5:B5"/>
    <mergeCell ref="A6:B6"/>
    <mergeCell ref="A15:B15"/>
    <mergeCell ref="A14:B14"/>
    <mergeCell ref="A7:B7"/>
    <mergeCell ref="A16:B16"/>
    <mergeCell ref="A9:B9"/>
    <mergeCell ref="A13:B13"/>
    <mergeCell ref="A10:B10"/>
    <mergeCell ref="A12:B12"/>
    <mergeCell ref="A8:B8"/>
    <mergeCell ref="A11:B11"/>
    <mergeCell ref="A17:B17"/>
    <mergeCell ref="A22:B22"/>
    <mergeCell ref="A18:B18"/>
    <mergeCell ref="A19:B19"/>
    <mergeCell ref="A20:B20"/>
    <mergeCell ref="A21:B21"/>
  </mergeCells>
  <pageMargins left="0.78740157499999996" right="0.78740157499999996" top="0.984251969" bottom="0.984251969" header="0.49212598499999999" footer="0.49212598499999999"/>
  <pageSetup paperSize="9" orientation="portrait" r:id="rId2"/>
  <headerFooter alignWithMargins="0"/>
  <ignoredErrors>
    <ignoredError sqref="E4:E5 E6:E21" unlockedFormula="1"/>
  </ignoredError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zoomScale="110" zoomScaleNormal="110" workbookViewId="0">
      <selection activeCell="A4" sqref="A4:B4"/>
    </sheetView>
  </sheetViews>
  <sheetFormatPr defaultColWidth="8.85546875" defaultRowHeight="15" customHeight="1" x14ac:dyDescent="0.2"/>
  <cols>
    <col min="1" max="1" width="29.7109375" style="58" customWidth="1"/>
    <col min="2" max="2" width="15.28515625" style="58" customWidth="1"/>
    <col min="3" max="3" width="10" style="58" bestFit="1" customWidth="1"/>
    <col min="4" max="4" width="15.85546875" style="58" bestFit="1" customWidth="1"/>
    <col min="5" max="6" width="15.7109375" style="58" customWidth="1"/>
    <col min="7" max="16384" width="8.85546875" style="58"/>
  </cols>
  <sheetData>
    <row r="1" spans="1:15" ht="15" customHeight="1" x14ac:dyDescent="0.2">
      <c r="A1" s="333" t="s">
        <v>151</v>
      </c>
      <c r="B1" s="333"/>
      <c r="C1" s="333"/>
      <c r="D1" s="333"/>
      <c r="E1" s="333"/>
      <c r="F1" s="333"/>
      <c r="G1" s="13"/>
      <c r="H1" s="13"/>
      <c r="I1" s="13"/>
      <c r="J1" s="13"/>
      <c r="K1" s="13"/>
      <c r="L1" s="13"/>
      <c r="M1" s="13"/>
      <c r="N1" s="13"/>
      <c r="O1" s="13"/>
    </row>
    <row r="2" spans="1:15" ht="15" customHeight="1" x14ac:dyDescent="0.2">
      <c r="A2" s="229" t="s">
        <v>60</v>
      </c>
      <c r="B2" s="230">
        <v>0.06</v>
      </c>
      <c r="C2" s="231" t="s">
        <v>8</v>
      </c>
      <c r="D2" s="231" t="s">
        <v>156</v>
      </c>
      <c r="E2" s="231" t="s">
        <v>134</v>
      </c>
      <c r="F2" s="231" t="s">
        <v>53</v>
      </c>
      <c r="G2" s="13"/>
      <c r="H2" s="13"/>
      <c r="I2" s="13"/>
      <c r="J2" s="13"/>
      <c r="K2" s="13"/>
      <c r="L2" s="13"/>
      <c r="M2" s="13"/>
      <c r="N2" s="13"/>
      <c r="O2" s="13"/>
    </row>
    <row r="3" spans="1:15" ht="15" customHeight="1" x14ac:dyDescent="0.2">
      <c r="A3" s="334" t="s">
        <v>215</v>
      </c>
      <c r="B3" s="335"/>
      <c r="C3" s="232" t="s">
        <v>9</v>
      </c>
      <c r="D3" s="232" t="s">
        <v>157</v>
      </c>
      <c r="E3" s="232" t="s">
        <v>133</v>
      </c>
      <c r="F3" s="232" t="s">
        <v>5</v>
      </c>
      <c r="G3" s="13"/>
      <c r="H3" s="13"/>
      <c r="I3" s="13"/>
      <c r="J3" s="13"/>
      <c r="K3" s="13"/>
      <c r="L3" s="13"/>
      <c r="M3" s="13"/>
      <c r="N3" s="13"/>
      <c r="O3" s="13"/>
    </row>
    <row r="4" spans="1:15" ht="15" customHeight="1" x14ac:dyDescent="0.2">
      <c r="A4" s="336">
        <v>2018</v>
      </c>
      <c r="B4" s="337"/>
      <c r="C4" s="61"/>
      <c r="D4" s="62"/>
      <c r="E4" s="105">
        <f>C4*D4</f>
        <v>0</v>
      </c>
      <c r="F4" s="105">
        <f>C4*D4*$B$2</f>
        <v>0</v>
      </c>
      <c r="G4" s="13"/>
      <c r="H4" s="13"/>
      <c r="I4" s="13"/>
      <c r="J4" s="13"/>
      <c r="K4" s="13"/>
      <c r="L4" s="13"/>
      <c r="M4" s="13"/>
      <c r="N4" s="13"/>
      <c r="O4" s="13"/>
    </row>
    <row r="5" spans="1:15" ht="15" customHeight="1" x14ac:dyDescent="0.2">
      <c r="A5" s="13"/>
      <c r="B5" s="13"/>
      <c r="C5" s="13"/>
      <c r="D5" s="13"/>
      <c r="E5" s="13"/>
      <c r="F5" s="13"/>
      <c r="G5" s="13"/>
      <c r="H5" s="13"/>
      <c r="I5" s="13"/>
      <c r="J5" s="13"/>
      <c r="K5" s="13"/>
      <c r="L5" s="13"/>
      <c r="M5" s="13"/>
      <c r="N5" s="13"/>
      <c r="O5" s="13"/>
    </row>
    <row r="6" spans="1:15" ht="15" customHeight="1" x14ac:dyDescent="0.2">
      <c r="A6" s="13"/>
      <c r="B6" s="13"/>
      <c r="C6" s="13"/>
      <c r="D6" s="13"/>
      <c r="E6" s="272"/>
      <c r="F6" s="13"/>
      <c r="G6" s="13"/>
      <c r="H6" s="13"/>
      <c r="I6" s="13"/>
      <c r="J6" s="13"/>
      <c r="K6" s="13"/>
      <c r="L6" s="13"/>
      <c r="M6" s="13"/>
      <c r="N6" s="13"/>
      <c r="O6" s="13"/>
    </row>
    <row r="7" spans="1:15" ht="15" customHeight="1" x14ac:dyDescent="0.2">
      <c r="A7" s="13"/>
      <c r="B7" s="13"/>
      <c r="C7" s="13"/>
      <c r="D7" s="13"/>
      <c r="E7" s="13"/>
      <c r="F7" s="13"/>
      <c r="G7" s="13"/>
      <c r="H7" s="13"/>
      <c r="I7" s="13"/>
      <c r="J7" s="13"/>
      <c r="K7" s="13"/>
      <c r="L7" s="13"/>
      <c r="M7" s="13"/>
      <c r="N7" s="13"/>
      <c r="O7" s="13"/>
    </row>
    <row r="8" spans="1:15" ht="15" customHeight="1" x14ac:dyDescent="0.2">
      <c r="A8" s="13"/>
      <c r="B8" s="13"/>
      <c r="C8" s="13"/>
      <c r="D8" s="13"/>
      <c r="E8" s="13"/>
      <c r="F8" s="13"/>
      <c r="G8" s="13"/>
      <c r="H8" s="13"/>
      <c r="I8" s="13"/>
      <c r="J8" s="13"/>
      <c r="K8" s="13"/>
      <c r="L8" s="13"/>
      <c r="M8" s="13"/>
      <c r="N8" s="13"/>
      <c r="O8" s="13"/>
    </row>
    <row r="9" spans="1:15" ht="15" customHeight="1" x14ac:dyDescent="0.2">
      <c r="A9" s="13"/>
      <c r="B9" s="13"/>
      <c r="C9" s="13"/>
      <c r="D9" s="13"/>
      <c r="E9" s="13"/>
      <c r="F9" s="13"/>
      <c r="G9" s="13"/>
      <c r="H9" s="13"/>
      <c r="I9" s="13"/>
      <c r="J9" s="13"/>
      <c r="K9" s="13"/>
      <c r="L9" s="13"/>
      <c r="M9" s="13"/>
      <c r="N9" s="13"/>
      <c r="O9" s="13"/>
    </row>
    <row r="10" spans="1:15" ht="15" customHeight="1" x14ac:dyDescent="0.2">
      <c r="A10" s="13"/>
      <c r="B10" s="13"/>
      <c r="C10" s="13"/>
      <c r="D10" s="13"/>
      <c r="E10" s="13"/>
      <c r="F10" s="13"/>
      <c r="G10" s="13"/>
      <c r="H10" s="13"/>
      <c r="I10" s="13"/>
      <c r="J10" s="13"/>
      <c r="K10" s="13"/>
      <c r="L10" s="13"/>
      <c r="M10" s="13"/>
      <c r="N10" s="13"/>
      <c r="O10" s="13"/>
    </row>
    <row r="11" spans="1:15" ht="15" customHeight="1" x14ac:dyDescent="0.2">
      <c r="A11" s="13"/>
      <c r="B11" s="13"/>
      <c r="C11" s="13"/>
      <c r="D11" s="13"/>
      <c r="E11" s="13"/>
      <c r="F11" s="13"/>
      <c r="G11" s="13"/>
      <c r="H11" s="13"/>
      <c r="I11" s="13"/>
      <c r="J11" s="13"/>
      <c r="K11" s="13"/>
      <c r="L11" s="13"/>
      <c r="M11" s="13"/>
      <c r="N11" s="13"/>
      <c r="O11" s="13"/>
    </row>
    <row r="12" spans="1:15" ht="15" customHeight="1" x14ac:dyDescent="0.2">
      <c r="A12" s="13"/>
      <c r="B12" s="13"/>
      <c r="C12" s="13"/>
      <c r="D12" s="13"/>
      <c r="E12" s="13"/>
      <c r="F12" s="13"/>
      <c r="G12" s="13"/>
      <c r="H12" s="13"/>
      <c r="I12" s="13"/>
      <c r="J12" s="13"/>
      <c r="K12" s="13"/>
      <c r="L12" s="13"/>
      <c r="M12" s="13"/>
      <c r="N12" s="13"/>
      <c r="O12" s="13"/>
    </row>
    <row r="13" spans="1:15" ht="15" customHeight="1" x14ac:dyDescent="0.2">
      <c r="A13" s="13"/>
      <c r="B13" s="13"/>
      <c r="C13" s="13"/>
      <c r="D13" s="13"/>
      <c r="E13" s="13"/>
      <c r="F13" s="13"/>
      <c r="G13" s="13"/>
      <c r="H13" s="13"/>
      <c r="I13" s="13"/>
      <c r="J13" s="13"/>
      <c r="K13" s="13"/>
      <c r="L13" s="13"/>
      <c r="M13" s="13"/>
      <c r="N13" s="13"/>
      <c r="O13" s="13"/>
    </row>
    <row r="14" spans="1:15" ht="15" customHeight="1" x14ac:dyDescent="0.2">
      <c r="A14" s="13"/>
      <c r="B14" s="13"/>
      <c r="C14" s="13"/>
      <c r="D14" s="13"/>
      <c r="E14" s="13"/>
      <c r="F14" s="13"/>
      <c r="G14" s="13"/>
      <c r="H14" s="13"/>
      <c r="I14" s="13"/>
      <c r="J14" s="13"/>
      <c r="K14" s="13"/>
      <c r="L14" s="13"/>
      <c r="M14" s="13"/>
      <c r="N14" s="13"/>
      <c r="O14" s="13"/>
    </row>
    <row r="15" spans="1:15" ht="15" customHeight="1" x14ac:dyDescent="0.2">
      <c r="A15" s="13"/>
      <c r="B15" s="13"/>
      <c r="C15" s="13"/>
      <c r="D15" s="13"/>
      <c r="E15" s="13"/>
      <c r="F15" s="13"/>
      <c r="G15" s="13"/>
      <c r="H15" s="13"/>
      <c r="I15" s="13"/>
      <c r="J15" s="13"/>
      <c r="K15" s="13"/>
      <c r="L15" s="13"/>
      <c r="M15" s="13"/>
      <c r="N15" s="13"/>
      <c r="O15" s="13"/>
    </row>
    <row r="16" spans="1:15" ht="15" customHeight="1" x14ac:dyDescent="0.2">
      <c r="A16" s="13"/>
      <c r="B16" s="13"/>
      <c r="C16" s="13"/>
      <c r="D16" s="13"/>
      <c r="E16" s="13"/>
      <c r="F16" s="13"/>
      <c r="G16" s="13"/>
      <c r="H16" s="13"/>
      <c r="I16" s="13"/>
      <c r="J16" s="13"/>
      <c r="K16" s="13"/>
      <c r="L16" s="13"/>
      <c r="M16" s="13"/>
      <c r="N16" s="13"/>
      <c r="O16" s="13"/>
    </row>
    <row r="17" spans="1:15" ht="15" customHeight="1" x14ac:dyDescent="0.2">
      <c r="A17" s="13"/>
      <c r="B17" s="13"/>
      <c r="C17" s="13"/>
      <c r="D17" s="13"/>
      <c r="E17" s="13"/>
      <c r="F17" s="13"/>
      <c r="G17" s="13"/>
      <c r="H17" s="13"/>
      <c r="I17" s="13"/>
      <c r="J17" s="13"/>
      <c r="K17" s="13"/>
      <c r="L17" s="13"/>
      <c r="M17" s="13"/>
      <c r="N17" s="13"/>
      <c r="O17" s="13"/>
    </row>
    <row r="18" spans="1:15" ht="15" customHeight="1" x14ac:dyDescent="0.2">
      <c r="A18" s="13"/>
      <c r="B18" s="13"/>
      <c r="C18" s="13"/>
      <c r="D18" s="13"/>
      <c r="E18" s="13"/>
      <c r="F18" s="13"/>
      <c r="G18" s="13"/>
      <c r="H18" s="13"/>
      <c r="I18" s="13"/>
      <c r="J18" s="13"/>
      <c r="K18" s="13"/>
      <c r="L18" s="13"/>
      <c r="M18" s="13"/>
      <c r="N18" s="13"/>
      <c r="O18" s="13"/>
    </row>
    <row r="19" spans="1:15" ht="15" customHeight="1" x14ac:dyDescent="0.2">
      <c r="A19" s="13"/>
      <c r="B19" s="13"/>
      <c r="C19" s="13"/>
      <c r="D19" s="13"/>
      <c r="E19" s="13"/>
      <c r="F19" s="13"/>
      <c r="G19" s="13"/>
      <c r="H19" s="13"/>
      <c r="I19" s="13"/>
      <c r="J19" s="13"/>
      <c r="K19" s="13"/>
      <c r="L19" s="13"/>
      <c r="M19" s="13"/>
      <c r="N19" s="13"/>
      <c r="O19" s="13"/>
    </row>
    <row r="20" spans="1:15" ht="15" customHeight="1" x14ac:dyDescent="0.2">
      <c r="A20" s="13"/>
      <c r="B20" s="13"/>
      <c r="C20" s="13"/>
      <c r="D20" s="13"/>
      <c r="E20" s="13"/>
      <c r="F20" s="13"/>
      <c r="G20" s="13"/>
      <c r="H20" s="13"/>
      <c r="I20" s="13"/>
      <c r="J20" s="13"/>
      <c r="K20" s="13"/>
      <c r="L20" s="13"/>
      <c r="M20" s="13"/>
      <c r="N20" s="13"/>
      <c r="O20" s="13"/>
    </row>
    <row r="21" spans="1:15" ht="15" customHeight="1" x14ac:dyDescent="0.2">
      <c r="A21" s="13"/>
      <c r="B21" s="13"/>
      <c r="C21" s="13"/>
      <c r="D21" s="13"/>
      <c r="E21" s="13"/>
      <c r="F21" s="13"/>
      <c r="G21" s="13"/>
      <c r="H21" s="13"/>
      <c r="I21" s="13"/>
      <c r="J21" s="13"/>
      <c r="K21" s="13"/>
      <c r="L21" s="13"/>
      <c r="M21" s="13"/>
      <c r="N21" s="13"/>
      <c r="O21" s="13"/>
    </row>
    <row r="22" spans="1:15" ht="15" customHeight="1" x14ac:dyDescent="0.2">
      <c r="A22" s="13"/>
      <c r="B22" s="13"/>
      <c r="C22" s="13"/>
      <c r="D22" s="13"/>
      <c r="E22" s="13"/>
      <c r="F22" s="13"/>
      <c r="G22" s="13"/>
      <c r="H22" s="13"/>
      <c r="I22" s="13"/>
      <c r="J22" s="13"/>
      <c r="K22" s="13"/>
      <c r="L22" s="13"/>
      <c r="M22" s="13"/>
      <c r="N22" s="13"/>
      <c r="O22" s="13"/>
    </row>
    <row r="23" spans="1:15" ht="15" customHeight="1" x14ac:dyDescent="0.2">
      <c r="A23" s="13"/>
      <c r="B23" s="13"/>
      <c r="C23" s="13"/>
      <c r="D23" s="13"/>
      <c r="E23" s="13"/>
      <c r="F23" s="13"/>
      <c r="G23" s="13"/>
      <c r="H23" s="13"/>
      <c r="I23" s="13"/>
      <c r="J23" s="13"/>
      <c r="K23" s="13"/>
      <c r="L23" s="13"/>
      <c r="M23" s="13"/>
      <c r="N23" s="13"/>
      <c r="O23" s="13"/>
    </row>
    <row r="24" spans="1:15" ht="15" customHeight="1" x14ac:dyDescent="0.2">
      <c r="A24" s="13"/>
      <c r="B24" s="13"/>
      <c r="C24" s="13"/>
      <c r="D24" s="13"/>
      <c r="E24" s="13"/>
      <c r="F24" s="13"/>
      <c r="G24" s="13"/>
      <c r="H24" s="13"/>
      <c r="I24" s="13"/>
      <c r="J24" s="13"/>
      <c r="K24" s="13"/>
      <c r="L24" s="13"/>
      <c r="M24" s="13"/>
      <c r="N24" s="13"/>
      <c r="O24" s="13"/>
    </row>
    <row r="25" spans="1:15" ht="15" customHeight="1" x14ac:dyDescent="0.2">
      <c r="A25" s="13"/>
      <c r="B25" s="13"/>
      <c r="C25" s="13"/>
      <c r="D25" s="13"/>
      <c r="E25" s="13"/>
      <c r="F25" s="13"/>
      <c r="I25" s="13"/>
      <c r="J25" s="13"/>
      <c r="K25" s="13"/>
      <c r="L25" s="13"/>
      <c r="M25" s="13"/>
      <c r="N25" s="13"/>
      <c r="O25" s="13"/>
    </row>
    <row r="26" spans="1:15" ht="15" customHeight="1" x14ac:dyDescent="0.2">
      <c r="I26" s="13"/>
      <c r="J26" s="13"/>
      <c r="K26" s="13"/>
      <c r="L26" s="13"/>
      <c r="M26" s="13"/>
      <c r="N26" s="13"/>
      <c r="O26" s="13"/>
    </row>
    <row r="27" spans="1:15" ht="15" customHeight="1" x14ac:dyDescent="0.2">
      <c r="I27" s="13"/>
      <c r="J27" s="13"/>
      <c r="K27" s="13"/>
      <c r="L27" s="13"/>
      <c r="M27" s="13"/>
      <c r="N27" s="13"/>
      <c r="O27" s="13"/>
    </row>
    <row r="28" spans="1:15" ht="15" customHeight="1" x14ac:dyDescent="0.2">
      <c r="I28" s="13"/>
      <c r="J28" s="13"/>
      <c r="K28" s="13"/>
      <c r="L28" s="13"/>
      <c r="M28" s="13"/>
      <c r="N28" s="13"/>
      <c r="O28" s="13"/>
    </row>
    <row r="29" spans="1:15" ht="15" customHeight="1" x14ac:dyDescent="0.2">
      <c r="I29" s="13"/>
      <c r="J29" s="13"/>
      <c r="K29" s="13"/>
      <c r="L29" s="13"/>
      <c r="M29" s="13"/>
      <c r="N29" s="13"/>
      <c r="O29" s="13"/>
    </row>
    <row r="30" spans="1:15" ht="15" customHeight="1" x14ac:dyDescent="0.2">
      <c r="I30" s="13"/>
      <c r="J30" s="13"/>
      <c r="K30" s="13"/>
      <c r="L30" s="13"/>
      <c r="M30" s="13"/>
      <c r="N30" s="13"/>
      <c r="O30" s="13"/>
    </row>
    <row r="31" spans="1:15" ht="15" customHeight="1" x14ac:dyDescent="0.2">
      <c r="I31" s="13"/>
      <c r="J31" s="13"/>
      <c r="K31" s="13"/>
      <c r="L31" s="13"/>
      <c r="M31" s="13"/>
      <c r="N31" s="13"/>
      <c r="O31" s="13"/>
    </row>
    <row r="32" spans="1:15" ht="15" customHeight="1" x14ac:dyDescent="0.2">
      <c r="I32" s="13"/>
      <c r="J32" s="13"/>
      <c r="K32" s="13"/>
      <c r="L32" s="13"/>
      <c r="M32" s="13"/>
      <c r="N32" s="13"/>
      <c r="O32" s="13"/>
    </row>
  </sheetData>
  <customSheetViews>
    <customSheetView guid="{97A6A664-2357-4472-A4F3-F41AC18A86A2}" scale="120">
      <selection sqref="A1:F1"/>
      <pageMargins left="0.78740157499999996" right="0.78740157499999996" top="0.984251969" bottom="0.984251969" header="0.49212598499999999" footer="0.49212598499999999"/>
      <pageSetup paperSize="9" orientation="portrait" r:id="rId1"/>
      <headerFooter alignWithMargins="0"/>
    </customSheetView>
  </customSheetViews>
  <mergeCells count="3">
    <mergeCell ref="A1:F1"/>
    <mergeCell ref="A3:B3"/>
    <mergeCell ref="A4:B4"/>
  </mergeCells>
  <pageMargins left="0.78740157499999996" right="0.78740157499999996" top="0.984251969" bottom="0.984251969" header="0.49212598499999999" footer="0.49212598499999999"/>
  <pageSetup paperSize="9" orientation="portrait" r:id="rId2"/>
  <headerFooter alignWithMargins="0"/>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showGridLines="0" zoomScale="120" zoomScaleNormal="120" workbookViewId="0">
      <selection activeCell="A2" sqref="A2"/>
    </sheetView>
  </sheetViews>
  <sheetFormatPr defaultColWidth="8.85546875" defaultRowHeight="13.5" customHeight="1" x14ac:dyDescent="0.2"/>
  <cols>
    <col min="1" max="1" width="34.85546875" style="58" customWidth="1"/>
    <col min="2" max="2" width="18.42578125" style="291" customWidth="1"/>
    <col min="3" max="16384" width="8.85546875" style="58"/>
  </cols>
  <sheetData>
    <row r="1" spans="1:2" ht="13.5" customHeight="1" x14ac:dyDescent="0.2">
      <c r="A1" s="338" t="s">
        <v>160</v>
      </c>
      <c r="B1" s="338"/>
    </row>
    <row r="2" spans="1:2" ht="13.5" customHeight="1" x14ac:dyDescent="0.2">
      <c r="A2" s="151" t="s">
        <v>351</v>
      </c>
      <c r="B2" s="150">
        <f>Animais!E10+Instalações!E21+Máquinas!D22+Terra!E4</f>
        <v>0</v>
      </c>
    </row>
    <row r="3" spans="1:2" ht="13.5" customHeight="1" x14ac:dyDescent="0.2">
      <c r="A3" s="151" t="s">
        <v>350</v>
      </c>
      <c r="B3" s="150"/>
    </row>
    <row r="4" spans="1:2" ht="13.5" customHeight="1" x14ac:dyDescent="0.2">
      <c r="A4" s="151" t="s">
        <v>200</v>
      </c>
      <c r="B4" s="150"/>
    </row>
    <row r="5" spans="1:2" ht="13.5" customHeight="1" x14ac:dyDescent="0.2">
      <c r="A5" s="63"/>
      <c r="B5" s="63"/>
    </row>
    <row r="6" spans="1:2" ht="13.5" customHeight="1" x14ac:dyDescent="0.2">
      <c r="A6" s="63"/>
      <c r="B6" s="63"/>
    </row>
  </sheetData>
  <customSheetViews>
    <customSheetView guid="{97A6A664-2357-4472-A4F3-F41AC18A86A2}" scale="140">
      <selection activeCell="B2" sqref="B2"/>
      <pageMargins left="0.511811024" right="0.511811024" top="0.78740157499999996" bottom="0.78740157499999996" header="0.31496062000000002" footer="0.31496062000000002"/>
      <pageSetup paperSize="9" orientation="portrait"/>
    </customSheetView>
  </customSheetViews>
  <mergeCells count="1">
    <mergeCell ref="A1:B1"/>
  </mergeCells>
  <pageMargins left="0.511811024" right="0.511811024" top="0.78740157499999996" bottom="0.78740157499999996" header="0.31496062000000002" footer="0.31496062000000002"/>
  <pageSetup paperSize="9"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206"/>
  <sheetViews>
    <sheetView tabSelected="1" zoomScaleNormal="100" zoomScaleSheetLayoutView="110" workbookViewId="0">
      <selection sqref="A1:D1"/>
    </sheetView>
  </sheetViews>
  <sheetFormatPr defaultColWidth="9.140625" defaultRowHeight="15" customHeight="1" x14ac:dyDescent="0.2"/>
  <cols>
    <col min="1" max="1" width="38.42578125" style="3" bestFit="1" customWidth="1"/>
    <col min="2" max="2" width="9.7109375" style="3" bestFit="1" customWidth="1"/>
    <col min="3" max="14" width="7.7109375" style="3" customWidth="1"/>
    <col min="15" max="15" width="10.85546875" style="3" customWidth="1"/>
    <col min="16" max="17" width="10.7109375" style="3" customWidth="1"/>
    <col min="18" max="18" width="17.42578125" style="3" bestFit="1" customWidth="1"/>
    <col min="19" max="19" width="14.140625" style="3" bestFit="1" customWidth="1"/>
    <col min="20" max="20" width="6.28515625" style="3" customWidth="1"/>
    <col min="21" max="38" width="9.140625" style="3"/>
    <col min="39" max="39" width="9.140625" style="3" customWidth="1"/>
    <col min="40" max="16384" width="9.140625" style="3"/>
  </cols>
  <sheetData>
    <row r="1" spans="1:36" ht="15" customHeight="1" x14ac:dyDescent="0.2">
      <c r="A1" s="384" t="s">
        <v>352</v>
      </c>
      <c r="B1" s="384"/>
      <c r="C1" s="384"/>
      <c r="D1" s="384"/>
      <c r="E1" s="384" t="s">
        <v>354</v>
      </c>
      <c r="F1" s="384"/>
      <c r="G1" s="384"/>
      <c r="H1" s="384"/>
      <c r="I1" s="384"/>
      <c r="J1" s="384"/>
      <c r="K1" s="384"/>
      <c r="L1" s="384"/>
      <c r="M1" s="13"/>
      <c r="N1" s="13"/>
      <c r="O1" s="358"/>
      <c r="P1" s="358"/>
      <c r="AB1" s="411" t="s">
        <v>345</v>
      </c>
      <c r="AC1" s="412"/>
      <c r="AD1" s="412"/>
      <c r="AE1" s="412"/>
      <c r="AF1" s="412"/>
      <c r="AG1" s="412"/>
      <c r="AH1" s="412"/>
      <c r="AI1" s="412"/>
      <c r="AJ1" s="413"/>
    </row>
    <row r="2" spans="1:36" ht="15" customHeight="1" thickBot="1" x14ac:dyDescent="0.25">
      <c r="A2" s="384" t="s">
        <v>353</v>
      </c>
      <c r="B2" s="384"/>
      <c r="C2" s="384"/>
      <c r="D2" s="384"/>
      <c r="E2" s="421" t="s">
        <v>213</v>
      </c>
      <c r="F2" s="421"/>
      <c r="G2" s="421"/>
      <c r="H2" s="421"/>
      <c r="I2" s="166">
        <f>O113</f>
        <v>0</v>
      </c>
      <c r="J2" s="74" t="s">
        <v>84</v>
      </c>
      <c r="K2" s="38"/>
      <c r="L2" s="13"/>
      <c r="M2" s="13"/>
      <c r="N2" s="13"/>
      <c r="O2" s="358"/>
      <c r="P2" s="358"/>
      <c r="AB2" s="158">
        <v>2000</v>
      </c>
      <c r="AC2" s="159">
        <f>AB2+4</f>
        <v>2004</v>
      </c>
      <c r="AD2" s="159">
        <f t="shared" ref="AD2:AJ2" si="0">AC2+4</f>
        <v>2008</v>
      </c>
      <c r="AE2" s="159">
        <f t="shared" si="0"/>
        <v>2012</v>
      </c>
      <c r="AF2" s="159">
        <f t="shared" si="0"/>
        <v>2016</v>
      </c>
      <c r="AG2" s="159">
        <f t="shared" si="0"/>
        <v>2020</v>
      </c>
      <c r="AH2" s="159">
        <f t="shared" si="0"/>
        <v>2024</v>
      </c>
      <c r="AI2" s="159">
        <f t="shared" si="0"/>
        <v>2028</v>
      </c>
      <c r="AJ2" s="160">
        <f t="shared" si="0"/>
        <v>2032</v>
      </c>
    </row>
    <row r="3" spans="1:36" ht="15" customHeight="1" x14ac:dyDescent="0.2">
      <c r="A3" s="388" t="s">
        <v>347</v>
      </c>
      <c r="B3" s="388"/>
      <c r="C3" s="388"/>
      <c r="D3" s="388"/>
      <c r="E3" s="388" t="s">
        <v>273</v>
      </c>
      <c r="F3" s="388"/>
      <c r="G3" s="388"/>
      <c r="H3" s="293"/>
      <c r="I3" s="294"/>
      <c r="J3" s="74"/>
      <c r="L3" s="377" t="s">
        <v>346</v>
      </c>
      <c r="M3" s="377"/>
      <c r="N3" s="377"/>
      <c r="O3" s="396"/>
      <c r="P3" s="396"/>
    </row>
    <row r="4" spans="1:36" ht="15" customHeight="1" x14ac:dyDescent="0.2">
      <c r="A4" s="161" t="s">
        <v>307</v>
      </c>
      <c r="B4" s="163" t="s">
        <v>10</v>
      </c>
      <c r="C4" s="165" t="s">
        <v>94</v>
      </c>
      <c r="D4" s="165" t="s">
        <v>68</v>
      </c>
      <c r="E4" s="165" t="s">
        <v>69</v>
      </c>
      <c r="F4" s="165" t="s">
        <v>70</v>
      </c>
      <c r="G4" s="165" t="s">
        <v>71</v>
      </c>
      <c r="H4" s="165" t="s">
        <v>72</v>
      </c>
      <c r="I4" s="165" t="s">
        <v>73</v>
      </c>
      <c r="J4" s="165" t="s">
        <v>74</v>
      </c>
      <c r="K4" s="165" t="s">
        <v>75</v>
      </c>
      <c r="L4" s="165" t="s">
        <v>76</v>
      </c>
      <c r="M4" s="165" t="s">
        <v>77</v>
      </c>
      <c r="N4" s="165" t="s">
        <v>78</v>
      </c>
      <c r="O4" s="107" t="s">
        <v>311</v>
      </c>
      <c r="P4" s="108" t="s">
        <v>306</v>
      </c>
      <c r="Q4" s="107" t="s">
        <v>310</v>
      </c>
      <c r="R4" s="109" t="s">
        <v>309</v>
      </c>
      <c r="S4" s="109" t="s">
        <v>309</v>
      </c>
      <c r="T4" s="75"/>
    </row>
    <row r="5" spans="1:36" ht="15" customHeight="1" x14ac:dyDescent="0.2">
      <c r="A5" s="162"/>
      <c r="B5" s="164"/>
      <c r="C5" s="290">
        <v>2018</v>
      </c>
      <c r="D5" s="290">
        <v>2018</v>
      </c>
      <c r="E5" s="290">
        <v>2018</v>
      </c>
      <c r="F5" s="290">
        <v>2018</v>
      </c>
      <c r="G5" s="290">
        <v>2018</v>
      </c>
      <c r="H5" s="290">
        <v>2018</v>
      </c>
      <c r="I5" s="290">
        <v>2018</v>
      </c>
      <c r="J5" s="290">
        <v>2018</v>
      </c>
      <c r="K5" s="290">
        <v>2018</v>
      </c>
      <c r="L5" s="290">
        <v>2018</v>
      </c>
      <c r="M5" s="290">
        <v>2018</v>
      </c>
      <c r="N5" s="290">
        <v>2018</v>
      </c>
      <c r="O5" s="106" t="s">
        <v>161</v>
      </c>
      <c r="P5" s="110" t="s">
        <v>116</v>
      </c>
      <c r="Q5" s="106" t="s">
        <v>161</v>
      </c>
      <c r="R5" s="111" t="s">
        <v>219</v>
      </c>
      <c r="S5" s="111" t="s">
        <v>220</v>
      </c>
      <c r="T5" s="75"/>
    </row>
    <row r="6" spans="1:36" ht="15" customHeight="1" x14ac:dyDescent="0.2">
      <c r="A6" s="11" t="s">
        <v>186</v>
      </c>
      <c r="B6" s="12" t="s">
        <v>1</v>
      </c>
      <c r="C6" s="14"/>
      <c r="D6" s="14"/>
      <c r="E6" s="14"/>
      <c r="F6" s="14"/>
      <c r="G6" s="14"/>
      <c r="H6" s="14"/>
      <c r="I6" s="14"/>
      <c r="J6" s="14"/>
      <c r="K6" s="14"/>
      <c r="L6" s="14"/>
      <c r="M6" s="14"/>
      <c r="N6" s="14"/>
      <c r="O6" s="112">
        <f t="shared" ref="O6:O41" si="1">IF(P6=0,0,(P6/$P$42)*100)</f>
        <v>0</v>
      </c>
      <c r="P6" s="113">
        <f t="shared" ref="P6:P42" si="2">SUM(C6:N6)</f>
        <v>0</v>
      </c>
      <c r="Q6" s="114">
        <f t="shared" ref="Q6:Q42" si="3">IF(P6=0,0,(P6/$P$75)*100)</f>
        <v>0</v>
      </c>
      <c r="R6" s="115" t="str">
        <f t="shared" ref="R6:R42" si="4">IFERROR(P6/$O$85,"")</f>
        <v/>
      </c>
      <c r="S6" s="116" t="str">
        <f t="shared" ref="S6:S42" si="5">IFERROR(P6/$O$89,"")</f>
        <v/>
      </c>
    </row>
    <row r="7" spans="1:36" ht="15" customHeight="1" x14ac:dyDescent="0.2">
      <c r="A7" s="15" t="s">
        <v>16</v>
      </c>
      <c r="B7" s="16" t="s">
        <v>1</v>
      </c>
      <c r="C7" s="14"/>
      <c r="D7" s="14"/>
      <c r="E7" s="14"/>
      <c r="F7" s="14"/>
      <c r="G7" s="14"/>
      <c r="H7" s="14"/>
      <c r="I7" s="14"/>
      <c r="J7" s="14"/>
      <c r="K7" s="14"/>
      <c r="L7" s="14"/>
      <c r="M7" s="14"/>
      <c r="N7" s="14"/>
      <c r="O7" s="117">
        <f t="shared" si="1"/>
        <v>0</v>
      </c>
      <c r="P7" s="118">
        <f t="shared" si="2"/>
        <v>0</v>
      </c>
      <c r="Q7" s="117">
        <f t="shared" si="3"/>
        <v>0</v>
      </c>
      <c r="R7" s="119" t="str">
        <f t="shared" si="4"/>
        <v/>
      </c>
      <c r="S7" s="120" t="str">
        <f t="shared" si="5"/>
        <v/>
      </c>
    </row>
    <row r="8" spans="1:36" ht="15" customHeight="1" x14ac:dyDescent="0.2">
      <c r="A8" s="15" t="s">
        <v>187</v>
      </c>
      <c r="B8" s="16" t="s">
        <v>1</v>
      </c>
      <c r="C8" s="14"/>
      <c r="D8" s="14"/>
      <c r="E8" s="14"/>
      <c r="F8" s="14"/>
      <c r="G8" s="14"/>
      <c r="H8" s="14"/>
      <c r="I8" s="14"/>
      <c r="J8" s="14"/>
      <c r="K8" s="14"/>
      <c r="L8" s="14"/>
      <c r="M8" s="14"/>
      <c r="N8" s="14"/>
      <c r="O8" s="117">
        <f t="shared" si="1"/>
        <v>0</v>
      </c>
      <c r="P8" s="118">
        <f t="shared" si="2"/>
        <v>0</v>
      </c>
      <c r="Q8" s="117">
        <f t="shared" si="3"/>
        <v>0</v>
      </c>
      <c r="R8" s="119" t="str">
        <f t="shared" si="4"/>
        <v/>
      </c>
      <c r="S8" s="120" t="str">
        <f t="shared" si="5"/>
        <v/>
      </c>
    </row>
    <row r="9" spans="1:36" ht="15" customHeight="1" x14ac:dyDescent="0.2">
      <c r="A9" s="15" t="s">
        <v>188</v>
      </c>
      <c r="B9" s="16" t="s">
        <v>1</v>
      </c>
      <c r="C9" s="14"/>
      <c r="D9" s="14"/>
      <c r="E9" s="14"/>
      <c r="F9" s="14"/>
      <c r="G9" s="14"/>
      <c r="H9" s="14"/>
      <c r="I9" s="14"/>
      <c r="J9" s="14"/>
      <c r="K9" s="14"/>
      <c r="L9" s="14"/>
      <c r="M9" s="14"/>
      <c r="N9" s="14"/>
      <c r="O9" s="117">
        <f t="shared" si="1"/>
        <v>0</v>
      </c>
      <c r="P9" s="118">
        <f t="shared" si="2"/>
        <v>0</v>
      </c>
      <c r="Q9" s="117">
        <f t="shared" si="3"/>
        <v>0</v>
      </c>
      <c r="R9" s="119" t="str">
        <f t="shared" si="4"/>
        <v/>
      </c>
      <c r="S9" s="120" t="str">
        <f t="shared" si="5"/>
        <v/>
      </c>
    </row>
    <row r="10" spans="1:36" ht="15" customHeight="1" x14ac:dyDescent="0.2">
      <c r="A10" s="15" t="s">
        <v>312</v>
      </c>
      <c r="B10" s="16" t="s">
        <v>1</v>
      </c>
      <c r="C10" s="14"/>
      <c r="D10" s="14"/>
      <c r="E10" s="14"/>
      <c r="F10" s="14"/>
      <c r="G10" s="14"/>
      <c r="H10" s="14"/>
      <c r="I10" s="14"/>
      <c r="J10" s="14"/>
      <c r="K10" s="14"/>
      <c r="L10" s="14"/>
      <c r="M10" s="14"/>
      <c r="N10" s="14"/>
      <c r="O10" s="117">
        <f t="shared" si="1"/>
        <v>0</v>
      </c>
      <c r="P10" s="118">
        <f t="shared" si="2"/>
        <v>0</v>
      </c>
      <c r="Q10" s="117">
        <f t="shared" si="3"/>
        <v>0</v>
      </c>
      <c r="R10" s="119" t="str">
        <f t="shared" si="4"/>
        <v/>
      </c>
      <c r="S10" s="120" t="str">
        <f t="shared" si="5"/>
        <v/>
      </c>
    </row>
    <row r="11" spans="1:36" ht="15" customHeight="1" x14ac:dyDescent="0.2">
      <c r="A11" s="15" t="s">
        <v>17</v>
      </c>
      <c r="B11" s="16" t="s">
        <v>1</v>
      </c>
      <c r="C11" s="14"/>
      <c r="D11" s="14"/>
      <c r="E11" s="14"/>
      <c r="F11" s="14"/>
      <c r="G11" s="14"/>
      <c r="H11" s="14"/>
      <c r="I11" s="14"/>
      <c r="J11" s="14"/>
      <c r="K11" s="14"/>
      <c r="L11" s="14"/>
      <c r="M11" s="14"/>
      <c r="N11" s="14"/>
      <c r="O11" s="117">
        <f t="shared" si="1"/>
        <v>0</v>
      </c>
      <c r="P11" s="118">
        <f t="shared" si="2"/>
        <v>0</v>
      </c>
      <c r="Q11" s="117">
        <f t="shared" si="3"/>
        <v>0</v>
      </c>
      <c r="R11" s="119" t="str">
        <f t="shared" si="4"/>
        <v/>
      </c>
      <c r="S11" s="120" t="str">
        <f t="shared" si="5"/>
        <v/>
      </c>
    </row>
    <row r="12" spans="1:36" ht="15" customHeight="1" x14ac:dyDescent="0.2">
      <c r="A12" s="15" t="s">
        <v>18</v>
      </c>
      <c r="B12" s="16" t="s">
        <v>1</v>
      </c>
      <c r="C12" s="14"/>
      <c r="D12" s="14"/>
      <c r="E12" s="14"/>
      <c r="F12" s="14"/>
      <c r="G12" s="14"/>
      <c r="H12" s="14"/>
      <c r="I12" s="14"/>
      <c r="J12" s="14"/>
      <c r="K12" s="14"/>
      <c r="L12" s="14"/>
      <c r="M12" s="14"/>
      <c r="N12" s="14"/>
      <c r="O12" s="117">
        <f t="shared" si="1"/>
        <v>0</v>
      </c>
      <c r="P12" s="118">
        <f t="shared" si="2"/>
        <v>0</v>
      </c>
      <c r="Q12" s="117">
        <f t="shared" si="3"/>
        <v>0</v>
      </c>
      <c r="R12" s="119" t="str">
        <f t="shared" si="4"/>
        <v/>
      </c>
      <c r="S12" s="120" t="str">
        <f t="shared" si="5"/>
        <v/>
      </c>
    </row>
    <row r="13" spans="1:36" ht="15" customHeight="1" x14ac:dyDescent="0.2">
      <c r="A13" s="15" t="s">
        <v>61</v>
      </c>
      <c r="B13" s="16" t="s">
        <v>1</v>
      </c>
      <c r="C13" s="14"/>
      <c r="D13" s="14"/>
      <c r="E13" s="14"/>
      <c r="F13" s="14"/>
      <c r="G13" s="14"/>
      <c r="H13" s="14"/>
      <c r="I13" s="14"/>
      <c r="J13" s="14"/>
      <c r="K13" s="14"/>
      <c r="L13" s="14"/>
      <c r="M13" s="14"/>
      <c r="N13" s="14"/>
      <c r="O13" s="117">
        <f t="shared" si="1"/>
        <v>0</v>
      </c>
      <c r="P13" s="118">
        <f t="shared" si="2"/>
        <v>0</v>
      </c>
      <c r="Q13" s="117">
        <f t="shared" si="3"/>
        <v>0</v>
      </c>
      <c r="R13" s="119" t="str">
        <f t="shared" si="4"/>
        <v/>
      </c>
      <c r="S13" s="120" t="str">
        <f t="shared" si="5"/>
        <v/>
      </c>
    </row>
    <row r="14" spans="1:36" ht="15" customHeight="1" x14ac:dyDescent="0.2">
      <c r="A14" s="15" t="s">
        <v>19</v>
      </c>
      <c r="B14" s="16" t="s">
        <v>1</v>
      </c>
      <c r="C14" s="14"/>
      <c r="D14" s="14"/>
      <c r="E14" s="14"/>
      <c r="F14" s="14"/>
      <c r="G14" s="14"/>
      <c r="H14" s="14"/>
      <c r="I14" s="14"/>
      <c r="J14" s="14"/>
      <c r="K14" s="14"/>
      <c r="L14" s="14"/>
      <c r="M14" s="14"/>
      <c r="N14" s="14"/>
      <c r="O14" s="117">
        <f t="shared" si="1"/>
        <v>0</v>
      </c>
      <c r="P14" s="118">
        <f t="shared" si="2"/>
        <v>0</v>
      </c>
      <c r="Q14" s="117">
        <f t="shared" si="3"/>
        <v>0</v>
      </c>
      <c r="R14" s="119" t="str">
        <f t="shared" si="4"/>
        <v/>
      </c>
      <c r="S14" s="120" t="str">
        <f t="shared" si="5"/>
        <v/>
      </c>
    </row>
    <row r="15" spans="1:36" ht="15" customHeight="1" x14ac:dyDescent="0.2">
      <c r="A15" s="15" t="s">
        <v>154</v>
      </c>
      <c r="B15" s="16" t="s">
        <v>1</v>
      </c>
      <c r="C15" s="14"/>
      <c r="D15" s="14"/>
      <c r="E15" s="14"/>
      <c r="F15" s="14"/>
      <c r="G15" s="14"/>
      <c r="H15" s="14"/>
      <c r="I15" s="14"/>
      <c r="J15" s="14"/>
      <c r="K15" s="14"/>
      <c r="L15" s="14"/>
      <c r="M15" s="14"/>
      <c r="N15" s="14"/>
      <c r="O15" s="117">
        <f t="shared" si="1"/>
        <v>0</v>
      </c>
      <c r="P15" s="118">
        <f t="shared" si="2"/>
        <v>0</v>
      </c>
      <c r="Q15" s="117">
        <f t="shared" si="3"/>
        <v>0</v>
      </c>
      <c r="R15" s="119" t="str">
        <f t="shared" si="4"/>
        <v/>
      </c>
      <c r="S15" s="120" t="str">
        <f t="shared" si="5"/>
        <v/>
      </c>
    </row>
    <row r="16" spans="1:36" ht="15" customHeight="1" x14ac:dyDescent="0.2">
      <c r="A16" s="15" t="s">
        <v>207</v>
      </c>
      <c r="B16" s="16" t="s">
        <v>1</v>
      </c>
      <c r="C16" s="14"/>
      <c r="D16" s="14"/>
      <c r="E16" s="14"/>
      <c r="F16" s="14"/>
      <c r="G16" s="14"/>
      <c r="H16" s="14"/>
      <c r="I16" s="14"/>
      <c r="J16" s="14"/>
      <c r="K16" s="14"/>
      <c r="L16" s="14"/>
      <c r="M16" s="14"/>
      <c r="N16" s="14"/>
      <c r="O16" s="117">
        <f t="shared" si="1"/>
        <v>0</v>
      </c>
      <c r="P16" s="118">
        <f t="shared" si="2"/>
        <v>0</v>
      </c>
      <c r="Q16" s="117">
        <f t="shared" si="3"/>
        <v>0</v>
      </c>
      <c r="R16" s="119" t="str">
        <f t="shared" si="4"/>
        <v/>
      </c>
      <c r="S16" s="120" t="str">
        <f t="shared" si="5"/>
        <v/>
      </c>
    </row>
    <row r="17" spans="1:19" ht="15" customHeight="1" x14ac:dyDescent="0.2">
      <c r="A17" s="15" t="s">
        <v>221</v>
      </c>
      <c r="B17" s="16" t="s">
        <v>1</v>
      </c>
      <c r="C17" s="14"/>
      <c r="D17" s="14"/>
      <c r="E17" s="14"/>
      <c r="F17" s="14"/>
      <c r="G17" s="14"/>
      <c r="H17" s="14"/>
      <c r="I17" s="14"/>
      <c r="J17" s="14"/>
      <c r="K17" s="14"/>
      <c r="L17" s="14"/>
      <c r="M17" s="14"/>
      <c r="N17" s="14"/>
      <c r="O17" s="117">
        <f t="shared" si="1"/>
        <v>0</v>
      </c>
      <c r="P17" s="118">
        <f t="shared" si="2"/>
        <v>0</v>
      </c>
      <c r="Q17" s="117">
        <f t="shared" si="3"/>
        <v>0</v>
      </c>
      <c r="R17" s="119" t="str">
        <f t="shared" si="4"/>
        <v/>
      </c>
      <c r="S17" s="120" t="str">
        <f t="shared" si="5"/>
        <v/>
      </c>
    </row>
    <row r="18" spans="1:19" ht="15" customHeight="1" x14ac:dyDescent="0.2">
      <c r="A18" s="15" t="s">
        <v>155</v>
      </c>
      <c r="B18" s="16" t="s">
        <v>1</v>
      </c>
      <c r="C18" s="14"/>
      <c r="D18" s="14"/>
      <c r="E18" s="14"/>
      <c r="F18" s="14"/>
      <c r="G18" s="14"/>
      <c r="H18" s="14"/>
      <c r="I18" s="14"/>
      <c r="J18" s="14"/>
      <c r="K18" s="14"/>
      <c r="L18" s="14"/>
      <c r="M18" s="14"/>
      <c r="N18" s="14"/>
      <c r="O18" s="117">
        <f t="shared" si="1"/>
        <v>0</v>
      </c>
      <c r="P18" s="118">
        <f t="shared" si="2"/>
        <v>0</v>
      </c>
      <c r="Q18" s="117">
        <f t="shared" si="3"/>
        <v>0</v>
      </c>
      <c r="R18" s="119" t="str">
        <f t="shared" si="4"/>
        <v/>
      </c>
      <c r="S18" s="120" t="str">
        <f t="shared" si="5"/>
        <v/>
      </c>
    </row>
    <row r="19" spans="1:19" ht="15" customHeight="1" x14ac:dyDescent="0.2">
      <c r="A19" s="15" t="s">
        <v>95</v>
      </c>
      <c r="B19" s="16" t="s">
        <v>1</v>
      </c>
      <c r="C19" s="14"/>
      <c r="D19" s="14"/>
      <c r="E19" s="14"/>
      <c r="F19" s="14"/>
      <c r="G19" s="14"/>
      <c r="H19" s="14"/>
      <c r="I19" s="14"/>
      <c r="J19" s="14"/>
      <c r="K19" s="14"/>
      <c r="L19" s="14"/>
      <c r="M19" s="14"/>
      <c r="N19" s="14"/>
      <c r="O19" s="117">
        <f t="shared" si="1"/>
        <v>0</v>
      </c>
      <c r="P19" s="118">
        <f t="shared" si="2"/>
        <v>0</v>
      </c>
      <c r="Q19" s="117">
        <f t="shared" si="3"/>
        <v>0</v>
      </c>
      <c r="R19" s="119" t="str">
        <f t="shared" si="4"/>
        <v/>
      </c>
      <c r="S19" s="120" t="str">
        <f t="shared" si="5"/>
        <v/>
      </c>
    </row>
    <row r="20" spans="1:19" ht="15" customHeight="1" x14ac:dyDescent="0.2">
      <c r="A20" s="15" t="s">
        <v>96</v>
      </c>
      <c r="B20" s="16" t="s">
        <v>1</v>
      </c>
      <c r="C20" s="14"/>
      <c r="D20" s="14"/>
      <c r="E20" s="14"/>
      <c r="F20" s="14"/>
      <c r="G20" s="14"/>
      <c r="H20" s="14"/>
      <c r="I20" s="14"/>
      <c r="J20" s="14"/>
      <c r="K20" s="14"/>
      <c r="L20" s="14"/>
      <c r="M20" s="14"/>
      <c r="N20" s="14"/>
      <c r="O20" s="117">
        <f t="shared" si="1"/>
        <v>0</v>
      </c>
      <c r="P20" s="118">
        <f t="shared" si="2"/>
        <v>0</v>
      </c>
      <c r="Q20" s="117">
        <f t="shared" si="3"/>
        <v>0</v>
      </c>
      <c r="R20" s="119" t="str">
        <f t="shared" si="4"/>
        <v/>
      </c>
      <c r="S20" s="120" t="str">
        <f t="shared" si="5"/>
        <v/>
      </c>
    </row>
    <row r="21" spans="1:19" ht="15" customHeight="1" x14ac:dyDescent="0.2">
      <c r="A21" s="15" t="s">
        <v>97</v>
      </c>
      <c r="B21" s="16" t="s">
        <v>1</v>
      </c>
      <c r="C21" s="14"/>
      <c r="D21" s="14"/>
      <c r="E21" s="14"/>
      <c r="F21" s="14"/>
      <c r="G21" s="14"/>
      <c r="H21" s="14"/>
      <c r="I21" s="14"/>
      <c r="J21" s="14"/>
      <c r="K21" s="14"/>
      <c r="L21" s="14"/>
      <c r="M21" s="14"/>
      <c r="N21" s="14"/>
      <c r="O21" s="117">
        <f t="shared" si="1"/>
        <v>0</v>
      </c>
      <c r="P21" s="118">
        <f t="shared" si="2"/>
        <v>0</v>
      </c>
      <c r="Q21" s="117">
        <f t="shared" si="3"/>
        <v>0</v>
      </c>
      <c r="R21" s="119" t="str">
        <f t="shared" si="4"/>
        <v/>
      </c>
      <c r="S21" s="120" t="str">
        <f t="shared" si="5"/>
        <v/>
      </c>
    </row>
    <row r="22" spans="1:19" ht="15" customHeight="1" x14ac:dyDescent="0.2">
      <c r="A22" s="15" t="s">
        <v>98</v>
      </c>
      <c r="B22" s="16" t="s">
        <v>1</v>
      </c>
      <c r="C22" s="14"/>
      <c r="D22" s="14"/>
      <c r="E22" s="14"/>
      <c r="F22" s="14"/>
      <c r="G22" s="14"/>
      <c r="H22" s="14"/>
      <c r="I22" s="14"/>
      <c r="J22" s="14"/>
      <c r="K22" s="14"/>
      <c r="L22" s="14"/>
      <c r="M22" s="14"/>
      <c r="N22" s="14"/>
      <c r="O22" s="117">
        <f t="shared" si="1"/>
        <v>0</v>
      </c>
      <c r="P22" s="118">
        <f t="shared" si="2"/>
        <v>0</v>
      </c>
      <c r="Q22" s="117">
        <f t="shared" si="3"/>
        <v>0</v>
      </c>
      <c r="R22" s="119" t="str">
        <f t="shared" si="4"/>
        <v/>
      </c>
      <c r="S22" s="120" t="str">
        <f t="shared" si="5"/>
        <v/>
      </c>
    </row>
    <row r="23" spans="1:19" ht="15" customHeight="1" x14ac:dyDescent="0.2">
      <c r="A23" s="15" t="s">
        <v>99</v>
      </c>
      <c r="B23" s="16" t="s">
        <v>1</v>
      </c>
      <c r="C23" s="14"/>
      <c r="D23" s="14"/>
      <c r="E23" s="14"/>
      <c r="F23" s="14"/>
      <c r="G23" s="14"/>
      <c r="H23" s="14"/>
      <c r="I23" s="14"/>
      <c r="J23" s="14"/>
      <c r="K23" s="14"/>
      <c r="L23" s="14"/>
      <c r="M23" s="14"/>
      <c r="N23" s="14"/>
      <c r="O23" s="117">
        <f t="shared" si="1"/>
        <v>0</v>
      </c>
      <c r="P23" s="118">
        <f t="shared" si="2"/>
        <v>0</v>
      </c>
      <c r="Q23" s="117">
        <f t="shared" si="3"/>
        <v>0</v>
      </c>
      <c r="R23" s="119" t="str">
        <f t="shared" si="4"/>
        <v/>
      </c>
      <c r="S23" s="120" t="str">
        <f t="shared" si="5"/>
        <v/>
      </c>
    </row>
    <row r="24" spans="1:19" ht="15" customHeight="1" x14ac:dyDescent="0.2">
      <c r="A24" s="15" t="s">
        <v>100</v>
      </c>
      <c r="B24" s="16" t="s">
        <v>1</v>
      </c>
      <c r="C24" s="14"/>
      <c r="D24" s="14"/>
      <c r="E24" s="14"/>
      <c r="F24" s="14"/>
      <c r="G24" s="14"/>
      <c r="H24" s="14"/>
      <c r="I24" s="14"/>
      <c r="J24" s="14"/>
      <c r="K24" s="14"/>
      <c r="L24" s="14"/>
      <c r="M24" s="14"/>
      <c r="N24" s="14"/>
      <c r="O24" s="117">
        <f t="shared" si="1"/>
        <v>0</v>
      </c>
      <c r="P24" s="118">
        <f t="shared" si="2"/>
        <v>0</v>
      </c>
      <c r="Q24" s="117">
        <f t="shared" si="3"/>
        <v>0</v>
      </c>
      <c r="R24" s="119" t="str">
        <f t="shared" si="4"/>
        <v/>
      </c>
      <c r="S24" s="120" t="str">
        <f t="shared" si="5"/>
        <v/>
      </c>
    </row>
    <row r="25" spans="1:19" ht="15" customHeight="1" x14ac:dyDescent="0.2">
      <c r="A25" s="15" t="s">
        <v>101</v>
      </c>
      <c r="B25" s="16" t="s">
        <v>1</v>
      </c>
      <c r="C25" s="14"/>
      <c r="D25" s="14"/>
      <c r="E25" s="14"/>
      <c r="F25" s="14"/>
      <c r="G25" s="14"/>
      <c r="H25" s="14"/>
      <c r="I25" s="14"/>
      <c r="J25" s="14"/>
      <c r="K25" s="14"/>
      <c r="L25" s="14"/>
      <c r="M25" s="14"/>
      <c r="N25" s="14"/>
      <c r="O25" s="117">
        <f t="shared" si="1"/>
        <v>0</v>
      </c>
      <c r="P25" s="118">
        <f t="shared" si="2"/>
        <v>0</v>
      </c>
      <c r="Q25" s="117">
        <f t="shared" si="3"/>
        <v>0</v>
      </c>
      <c r="R25" s="119" t="str">
        <f t="shared" si="4"/>
        <v/>
      </c>
      <c r="S25" s="120" t="str">
        <f t="shared" si="5"/>
        <v/>
      </c>
    </row>
    <row r="26" spans="1:19" ht="15" customHeight="1" x14ac:dyDescent="0.2">
      <c r="A26" s="18" t="s">
        <v>102</v>
      </c>
      <c r="B26" s="16" t="s">
        <v>1</v>
      </c>
      <c r="C26" s="14"/>
      <c r="D26" s="14"/>
      <c r="E26" s="14"/>
      <c r="F26" s="14"/>
      <c r="G26" s="14"/>
      <c r="H26" s="14"/>
      <c r="I26" s="14"/>
      <c r="J26" s="14"/>
      <c r="K26" s="14"/>
      <c r="L26" s="14"/>
      <c r="M26" s="14"/>
      <c r="N26" s="14"/>
      <c r="O26" s="117">
        <f t="shared" si="1"/>
        <v>0</v>
      </c>
      <c r="P26" s="118">
        <f t="shared" si="2"/>
        <v>0</v>
      </c>
      <c r="Q26" s="117">
        <f t="shared" si="3"/>
        <v>0</v>
      </c>
      <c r="R26" s="119" t="str">
        <f t="shared" si="4"/>
        <v/>
      </c>
      <c r="S26" s="120" t="str">
        <f t="shared" si="5"/>
        <v/>
      </c>
    </row>
    <row r="27" spans="1:19" ht="15" customHeight="1" x14ac:dyDescent="0.2">
      <c r="A27" s="15" t="s">
        <v>103</v>
      </c>
      <c r="B27" s="16" t="s">
        <v>1</v>
      </c>
      <c r="C27" s="14"/>
      <c r="D27" s="14"/>
      <c r="E27" s="14"/>
      <c r="F27" s="14"/>
      <c r="G27" s="14"/>
      <c r="H27" s="14"/>
      <c r="I27" s="14"/>
      <c r="J27" s="14"/>
      <c r="K27" s="14"/>
      <c r="L27" s="14"/>
      <c r="M27" s="14"/>
      <c r="N27" s="14"/>
      <c r="O27" s="117">
        <f t="shared" si="1"/>
        <v>0</v>
      </c>
      <c r="P27" s="118">
        <f t="shared" si="2"/>
        <v>0</v>
      </c>
      <c r="Q27" s="117">
        <f t="shared" si="3"/>
        <v>0</v>
      </c>
      <c r="R27" s="119" t="str">
        <f t="shared" si="4"/>
        <v/>
      </c>
      <c r="S27" s="120" t="str">
        <f t="shared" si="5"/>
        <v/>
      </c>
    </row>
    <row r="28" spans="1:19" ht="15" customHeight="1" x14ac:dyDescent="0.2">
      <c r="A28" s="15" t="s">
        <v>104</v>
      </c>
      <c r="B28" s="16" t="s">
        <v>1</v>
      </c>
      <c r="C28" s="14"/>
      <c r="D28" s="14"/>
      <c r="E28" s="14"/>
      <c r="F28" s="14"/>
      <c r="G28" s="14"/>
      <c r="H28" s="14"/>
      <c r="I28" s="14"/>
      <c r="J28" s="14"/>
      <c r="K28" s="14"/>
      <c r="L28" s="14"/>
      <c r="M28" s="14"/>
      <c r="N28" s="14"/>
      <c r="O28" s="117">
        <f t="shared" si="1"/>
        <v>0</v>
      </c>
      <c r="P28" s="118">
        <f t="shared" si="2"/>
        <v>0</v>
      </c>
      <c r="Q28" s="117">
        <f t="shared" si="3"/>
        <v>0</v>
      </c>
      <c r="R28" s="119" t="str">
        <f t="shared" si="4"/>
        <v/>
      </c>
      <c r="S28" s="120" t="str">
        <f t="shared" si="5"/>
        <v/>
      </c>
    </row>
    <row r="29" spans="1:19" ht="15" customHeight="1" x14ac:dyDescent="0.2">
      <c r="A29" s="15" t="s">
        <v>105</v>
      </c>
      <c r="B29" s="16" t="s">
        <v>1</v>
      </c>
      <c r="C29" s="14"/>
      <c r="D29" s="14"/>
      <c r="E29" s="14"/>
      <c r="F29" s="14"/>
      <c r="G29" s="14"/>
      <c r="H29" s="14"/>
      <c r="I29" s="14"/>
      <c r="J29" s="14"/>
      <c r="K29" s="14"/>
      <c r="L29" s="14"/>
      <c r="M29" s="14"/>
      <c r="N29" s="14"/>
      <c r="O29" s="117">
        <f t="shared" si="1"/>
        <v>0</v>
      </c>
      <c r="P29" s="118">
        <f t="shared" si="2"/>
        <v>0</v>
      </c>
      <c r="Q29" s="117">
        <f t="shared" si="3"/>
        <v>0</v>
      </c>
      <c r="R29" s="119" t="str">
        <f t="shared" si="4"/>
        <v/>
      </c>
      <c r="S29" s="120" t="str">
        <f t="shared" si="5"/>
        <v/>
      </c>
    </row>
    <row r="30" spans="1:19" ht="15" customHeight="1" x14ac:dyDescent="0.2">
      <c r="A30" s="15" t="s">
        <v>106</v>
      </c>
      <c r="B30" s="16" t="s">
        <v>1</v>
      </c>
      <c r="C30" s="14"/>
      <c r="D30" s="14"/>
      <c r="E30" s="14"/>
      <c r="F30" s="14"/>
      <c r="G30" s="14"/>
      <c r="H30" s="14"/>
      <c r="I30" s="14"/>
      <c r="J30" s="14"/>
      <c r="K30" s="14"/>
      <c r="L30" s="14"/>
      <c r="M30" s="14"/>
      <c r="N30" s="14"/>
      <c r="O30" s="117">
        <f t="shared" si="1"/>
        <v>0</v>
      </c>
      <c r="P30" s="118">
        <f t="shared" si="2"/>
        <v>0</v>
      </c>
      <c r="Q30" s="117">
        <f t="shared" si="3"/>
        <v>0</v>
      </c>
      <c r="R30" s="119" t="str">
        <f t="shared" si="4"/>
        <v/>
      </c>
      <c r="S30" s="120" t="str">
        <f t="shared" si="5"/>
        <v/>
      </c>
    </row>
    <row r="31" spans="1:19" ht="15" customHeight="1" x14ac:dyDescent="0.2">
      <c r="A31" s="15" t="s">
        <v>107</v>
      </c>
      <c r="B31" s="16" t="s">
        <v>1</v>
      </c>
      <c r="C31" s="14"/>
      <c r="D31" s="14"/>
      <c r="E31" s="14"/>
      <c r="F31" s="14"/>
      <c r="G31" s="14"/>
      <c r="H31" s="14"/>
      <c r="I31" s="14"/>
      <c r="J31" s="14"/>
      <c r="K31" s="14"/>
      <c r="L31" s="14"/>
      <c r="M31" s="14"/>
      <c r="N31" s="14"/>
      <c r="O31" s="117">
        <f t="shared" si="1"/>
        <v>0</v>
      </c>
      <c r="P31" s="118">
        <f t="shared" si="2"/>
        <v>0</v>
      </c>
      <c r="Q31" s="117">
        <f t="shared" si="3"/>
        <v>0</v>
      </c>
      <c r="R31" s="119" t="str">
        <f t="shared" si="4"/>
        <v/>
      </c>
      <c r="S31" s="120" t="str">
        <f t="shared" si="5"/>
        <v/>
      </c>
    </row>
    <row r="32" spans="1:19" ht="15" customHeight="1" x14ac:dyDescent="0.2">
      <c r="A32" s="15" t="s">
        <v>108</v>
      </c>
      <c r="B32" s="16" t="s">
        <v>1</v>
      </c>
      <c r="C32" s="14"/>
      <c r="D32" s="14"/>
      <c r="E32" s="14"/>
      <c r="F32" s="14"/>
      <c r="G32" s="14"/>
      <c r="H32" s="14"/>
      <c r="I32" s="14"/>
      <c r="J32" s="14"/>
      <c r="K32" s="14"/>
      <c r="L32" s="14"/>
      <c r="M32" s="14"/>
      <c r="N32" s="14"/>
      <c r="O32" s="117">
        <f t="shared" si="1"/>
        <v>0</v>
      </c>
      <c r="P32" s="118">
        <f t="shared" si="2"/>
        <v>0</v>
      </c>
      <c r="Q32" s="117">
        <f t="shared" si="3"/>
        <v>0</v>
      </c>
      <c r="R32" s="119" t="str">
        <f t="shared" si="4"/>
        <v/>
      </c>
      <c r="S32" s="120" t="str">
        <f t="shared" si="5"/>
        <v/>
      </c>
    </row>
    <row r="33" spans="1:19" ht="15" customHeight="1" x14ac:dyDescent="0.2">
      <c r="A33" s="15" t="s">
        <v>109</v>
      </c>
      <c r="B33" s="16" t="s">
        <v>1</v>
      </c>
      <c r="C33" s="14"/>
      <c r="D33" s="14"/>
      <c r="E33" s="14"/>
      <c r="F33" s="14"/>
      <c r="G33" s="14"/>
      <c r="H33" s="14"/>
      <c r="I33" s="14"/>
      <c r="J33" s="14"/>
      <c r="K33" s="14"/>
      <c r="L33" s="14"/>
      <c r="M33" s="14"/>
      <c r="N33" s="14"/>
      <c r="O33" s="117">
        <f t="shared" si="1"/>
        <v>0</v>
      </c>
      <c r="P33" s="118">
        <f t="shared" si="2"/>
        <v>0</v>
      </c>
      <c r="Q33" s="117">
        <f t="shared" si="3"/>
        <v>0</v>
      </c>
      <c r="R33" s="119" t="str">
        <f t="shared" si="4"/>
        <v/>
      </c>
      <c r="S33" s="120" t="str">
        <f t="shared" si="5"/>
        <v/>
      </c>
    </row>
    <row r="34" spans="1:19" ht="15" customHeight="1" x14ac:dyDescent="0.2">
      <c r="A34" s="15" t="s">
        <v>110</v>
      </c>
      <c r="B34" s="16" t="s">
        <v>1</v>
      </c>
      <c r="C34" s="14"/>
      <c r="D34" s="14"/>
      <c r="E34" s="14"/>
      <c r="F34" s="14"/>
      <c r="G34" s="14"/>
      <c r="H34" s="14"/>
      <c r="I34" s="14"/>
      <c r="J34" s="14"/>
      <c r="K34" s="14"/>
      <c r="L34" s="14"/>
      <c r="M34" s="14"/>
      <c r="N34" s="14"/>
      <c r="O34" s="117">
        <f t="shared" si="1"/>
        <v>0</v>
      </c>
      <c r="P34" s="118">
        <f t="shared" si="2"/>
        <v>0</v>
      </c>
      <c r="Q34" s="117">
        <f t="shared" si="3"/>
        <v>0</v>
      </c>
      <c r="R34" s="119" t="str">
        <f t="shared" si="4"/>
        <v/>
      </c>
      <c r="S34" s="120" t="str">
        <f t="shared" si="5"/>
        <v/>
      </c>
    </row>
    <row r="35" spans="1:19" ht="15" customHeight="1" x14ac:dyDescent="0.2">
      <c r="A35" s="15" t="s">
        <v>111</v>
      </c>
      <c r="B35" s="16" t="s">
        <v>1</v>
      </c>
      <c r="C35" s="14"/>
      <c r="D35" s="14"/>
      <c r="E35" s="14"/>
      <c r="F35" s="14"/>
      <c r="G35" s="14"/>
      <c r="H35" s="14"/>
      <c r="I35" s="14"/>
      <c r="J35" s="14"/>
      <c r="K35" s="14"/>
      <c r="L35" s="14"/>
      <c r="M35" s="14"/>
      <c r="N35" s="14"/>
      <c r="O35" s="117">
        <f t="shared" si="1"/>
        <v>0</v>
      </c>
      <c r="P35" s="118">
        <f t="shared" si="2"/>
        <v>0</v>
      </c>
      <c r="Q35" s="117">
        <f t="shared" si="3"/>
        <v>0</v>
      </c>
      <c r="R35" s="119" t="str">
        <f t="shared" si="4"/>
        <v/>
      </c>
      <c r="S35" s="120" t="str">
        <f t="shared" si="5"/>
        <v/>
      </c>
    </row>
    <row r="36" spans="1:19" ht="15" customHeight="1" x14ac:dyDescent="0.2">
      <c r="A36" s="15" t="s">
        <v>112</v>
      </c>
      <c r="B36" s="16" t="s">
        <v>1</v>
      </c>
      <c r="C36" s="14"/>
      <c r="D36" s="14"/>
      <c r="E36" s="14"/>
      <c r="F36" s="14"/>
      <c r="G36" s="14"/>
      <c r="H36" s="14"/>
      <c r="I36" s="14"/>
      <c r="J36" s="14"/>
      <c r="K36" s="14"/>
      <c r="L36" s="14"/>
      <c r="M36" s="14"/>
      <c r="N36" s="14"/>
      <c r="O36" s="117">
        <f t="shared" si="1"/>
        <v>0</v>
      </c>
      <c r="P36" s="118">
        <f t="shared" si="2"/>
        <v>0</v>
      </c>
      <c r="Q36" s="117">
        <f t="shared" si="3"/>
        <v>0</v>
      </c>
      <c r="R36" s="119" t="str">
        <f t="shared" si="4"/>
        <v/>
      </c>
      <c r="S36" s="120" t="str">
        <f t="shared" si="5"/>
        <v/>
      </c>
    </row>
    <row r="37" spans="1:19" ht="15" customHeight="1" x14ac:dyDescent="0.2">
      <c r="A37" s="15" t="s">
        <v>113</v>
      </c>
      <c r="B37" s="16" t="s">
        <v>1</v>
      </c>
      <c r="C37" s="14"/>
      <c r="D37" s="14"/>
      <c r="E37" s="14"/>
      <c r="F37" s="14"/>
      <c r="G37" s="14"/>
      <c r="H37" s="14"/>
      <c r="I37" s="14"/>
      <c r="J37" s="14"/>
      <c r="K37" s="14"/>
      <c r="L37" s="14"/>
      <c r="M37" s="14"/>
      <c r="N37" s="14"/>
      <c r="O37" s="117">
        <f t="shared" si="1"/>
        <v>0</v>
      </c>
      <c r="P37" s="118">
        <f t="shared" si="2"/>
        <v>0</v>
      </c>
      <c r="Q37" s="117">
        <f t="shared" si="3"/>
        <v>0</v>
      </c>
      <c r="R37" s="119" t="str">
        <f t="shared" si="4"/>
        <v/>
      </c>
      <c r="S37" s="120" t="str">
        <f t="shared" si="5"/>
        <v/>
      </c>
    </row>
    <row r="38" spans="1:19" ht="15" customHeight="1" x14ac:dyDescent="0.2">
      <c r="A38" s="15" t="s">
        <v>114</v>
      </c>
      <c r="B38" s="16" t="s">
        <v>1</v>
      </c>
      <c r="C38" s="14"/>
      <c r="D38" s="14"/>
      <c r="E38" s="14"/>
      <c r="F38" s="14"/>
      <c r="G38" s="14"/>
      <c r="H38" s="14"/>
      <c r="I38" s="14"/>
      <c r="J38" s="14"/>
      <c r="K38" s="14"/>
      <c r="L38" s="14"/>
      <c r="M38" s="14"/>
      <c r="N38" s="14"/>
      <c r="O38" s="117">
        <f t="shared" si="1"/>
        <v>0</v>
      </c>
      <c r="P38" s="118">
        <f t="shared" si="2"/>
        <v>0</v>
      </c>
      <c r="Q38" s="117">
        <f t="shared" si="3"/>
        <v>0</v>
      </c>
      <c r="R38" s="119" t="str">
        <f t="shared" si="4"/>
        <v/>
      </c>
      <c r="S38" s="120" t="str">
        <f t="shared" si="5"/>
        <v/>
      </c>
    </row>
    <row r="39" spans="1:19" ht="15" customHeight="1" x14ac:dyDescent="0.2">
      <c r="A39" s="15" t="s">
        <v>115</v>
      </c>
      <c r="B39" s="16" t="s">
        <v>1</v>
      </c>
      <c r="C39" s="14"/>
      <c r="D39" s="14"/>
      <c r="E39" s="14"/>
      <c r="F39" s="14"/>
      <c r="G39" s="14"/>
      <c r="H39" s="14"/>
      <c r="I39" s="14"/>
      <c r="J39" s="14"/>
      <c r="K39" s="14"/>
      <c r="L39" s="14"/>
      <c r="M39" s="14"/>
      <c r="N39" s="14"/>
      <c r="O39" s="117">
        <f t="shared" si="1"/>
        <v>0</v>
      </c>
      <c r="P39" s="118">
        <f t="shared" si="2"/>
        <v>0</v>
      </c>
      <c r="Q39" s="117">
        <f t="shared" si="3"/>
        <v>0</v>
      </c>
      <c r="R39" s="119" t="str">
        <f t="shared" si="4"/>
        <v/>
      </c>
      <c r="S39" s="120" t="str">
        <f t="shared" si="5"/>
        <v/>
      </c>
    </row>
    <row r="40" spans="1:19" ht="15" customHeight="1" x14ac:dyDescent="0.2">
      <c r="A40" s="15" t="s">
        <v>46</v>
      </c>
      <c r="B40" s="16" t="s">
        <v>1</v>
      </c>
      <c r="C40" s="14"/>
      <c r="D40" s="14"/>
      <c r="E40" s="14"/>
      <c r="F40" s="14"/>
      <c r="G40" s="14"/>
      <c r="H40" s="14"/>
      <c r="I40" s="14"/>
      <c r="J40" s="14"/>
      <c r="K40" s="14"/>
      <c r="L40" s="14"/>
      <c r="M40" s="14"/>
      <c r="N40" s="14"/>
      <c r="O40" s="117">
        <f t="shared" si="1"/>
        <v>0</v>
      </c>
      <c r="P40" s="118">
        <f t="shared" si="2"/>
        <v>0</v>
      </c>
      <c r="Q40" s="117">
        <f t="shared" si="3"/>
        <v>0</v>
      </c>
      <c r="R40" s="119" t="str">
        <f t="shared" si="4"/>
        <v/>
      </c>
      <c r="S40" s="120" t="str">
        <f t="shared" si="5"/>
        <v/>
      </c>
    </row>
    <row r="41" spans="1:19" ht="15" customHeight="1" x14ac:dyDescent="0.2">
      <c r="A41" s="274" t="s">
        <v>47</v>
      </c>
      <c r="B41" s="275" t="s">
        <v>1</v>
      </c>
      <c r="C41" s="276"/>
      <c r="D41" s="276"/>
      <c r="E41" s="276"/>
      <c r="F41" s="276"/>
      <c r="G41" s="276"/>
      <c r="H41" s="276"/>
      <c r="I41" s="276"/>
      <c r="J41" s="276"/>
      <c r="K41" s="276"/>
      <c r="L41" s="276"/>
      <c r="M41" s="276"/>
      <c r="N41" s="276"/>
      <c r="O41" s="121">
        <f t="shared" si="1"/>
        <v>0</v>
      </c>
      <c r="P41" s="122">
        <f t="shared" si="2"/>
        <v>0</v>
      </c>
      <c r="Q41" s="123">
        <f t="shared" si="3"/>
        <v>0</v>
      </c>
      <c r="R41" s="124" t="str">
        <f t="shared" si="4"/>
        <v/>
      </c>
      <c r="S41" s="125" t="str">
        <f t="shared" si="5"/>
        <v/>
      </c>
    </row>
    <row r="42" spans="1:19" ht="15" customHeight="1" x14ac:dyDescent="0.2">
      <c r="A42" s="273" t="s">
        <v>48</v>
      </c>
      <c r="B42" s="277" t="s">
        <v>1</v>
      </c>
      <c r="C42" s="254">
        <f>SUM(C6:C41)</f>
        <v>0</v>
      </c>
      <c r="D42" s="254">
        <f>SUM(D6:D41)</f>
        <v>0</v>
      </c>
      <c r="E42" s="254">
        <f t="shared" ref="E42:O42" si="6">SUM(E6:E41)</f>
        <v>0</v>
      </c>
      <c r="F42" s="254">
        <f t="shared" si="6"/>
        <v>0</v>
      </c>
      <c r="G42" s="254">
        <f t="shared" si="6"/>
        <v>0</v>
      </c>
      <c r="H42" s="254">
        <f t="shared" si="6"/>
        <v>0</v>
      </c>
      <c r="I42" s="254">
        <f t="shared" si="6"/>
        <v>0</v>
      </c>
      <c r="J42" s="254">
        <f t="shared" si="6"/>
        <v>0</v>
      </c>
      <c r="K42" s="254">
        <f t="shared" si="6"/>
        <v>0</v>
      </c>
      <c r="L42" s="254">
        <f t="shared" si="6"/>
        <v>0</v>
      </c>
      <c r="M42" s="254">
        <f t="shared" si="6"/>
        <v>0</v>
      </c>
      <c r="N42" s="254">
        <f t="shared" si="6"/>
        <v>0</v>
      </c>
      <c r="O42" s="126">
        <f t="shared" si="6"/>
        <v>0</v>
      </c>
      <c r="P42" s="105">
        <f t="shared" si="2"/>
        <v>0</v>
      </c>
      <c r="Q42" s="127">
        <f t="shared" si="3"/>
        <v>0</v>
      </c>
      <c r="R42" s="128" t="str">
        <f t="shared" si="4"/>
        <v/>
      </c>
      <c r="S42" s="128" t="str">
        <f t="shared" si="5"/>
        <v/>
      </c>
    </row>
    <row r="43" spans="1:19" ht="15" customHeight="1" x14ac:dyDescent="0.2">
      <c r="A43" s="386" t="str">
        <f>A1</f>
        <v>Proprietário:</v>
      </c>
      <c r="B43" s="386"/>
      <c r="C43" s="386"/>
      <c r="D43" s="386"/>
      <c r="E43" s="386" t="str">
        <f>E1</f>
        <v>Propriedade:</v>
      </c>
      <c r="F43" s="386"/>
      <c r="G43" s="386"/>
      <c r="H43" s="386"/>
      <c r="I43" s="386"/>
      <c r="J43" s="386"/>
      <c r="K43" s="386"/>
      <c r="L43" s="386"/>
      <c r="M43" s="13"/>
      <c r="N43" s="13"/>
      <c r="O43" s="358"/>
      <c r="P43" s="358"/>
    </row>
    <row r="44" spans="1:19" ht="15" customHeight="1" x14ac:dyDescent="0.2">
      <c r="A44" s="387" t="str">
        <f>A2</f>
        <v>Município:</v>
      </c>
      <c r="B44" s="387"/>
      <c r="C44" s="387"/>
      <c r="D44" s="387"/>
      <c r="E44" s="385" t="str">
        <f>E2</f>
        <v>Área da atividade leiteira:</v>
      </c>
      <c r="F44" s="385"/>
      <c r="G44" s="385"/>
      <c r="H44" s="385"/>
      <c r="I44" s="166">
        <f>O113</f>
        <v>0</v>
      </c>
      <c r="J44" s="39" t="str">
        <f>J2</f>
        <v>ha</v>
      </c>
      <c r="K44" s="40"/>
      <c r="L44" s="40"/>
      <c r="M44" s="13"/>
      <c r="N44" s="13"/>
      <c r="O44" s="358"/>
      <c r="P44" s="358"/>
    </row>
    <row r="45" spans="1:19" ht="15" customHeight="1" x14ac:dyDescent="0.2">
      <c r="A45" s="388" t="str">
        <f>A3</f>
        <v>Técnico Responsável:</v>
      </c>
      <c r="B45" s="388"/>
      <c r="C45" s="388"/>
      <c r="D45" s="388"/>
      <c r="E45" s="388" t="str">
        <f>E3</f>
        <v xml:space="preserve">Entrada no Balde Cheio: </v>
      </c>
      <c r="F45" s="388"/>
      <c r="G45" s="414"/>
      <c r="H45" s="170">
        <f>H3</f>
        <v>0</v>
      </c>
      <c r="I45" s="170">
        <f>I3</f>
        <v>0</v>
      </c>
      <c r="J45" s="377" t="str">
        <f>L3</f>
        <v>versão BC 07</v>
      </c>
      <c r="K45" s="377"/>
      <c r="L45" s="377"/>
      <c r="M45" s="13"/>
      <c r="N45" s="13"/>
      <c r="O45" s="396"/>
      <c r="P45" s="396"/>
    </row>
    <row r="46" spans="1:19" ht="15" customHeight="1" x14ac:dyDescent="0.2">
      <c r="A46" s="161" t="s">
        <v>195</v>
      </c>
      <c r="B46" s="163" t="s">
        <v>10</v>
      </c>
      <c r="C46" s="165" t="s">
        <v>94</v>
      </c>
      <c r="D46" s="165" t="s">
        <v>68</v>
      </c>
      <c r="E46" s="165" t="s">
        <v>69</v>
      </c>
      <c r="F46" s="165" t="s">
        <v>70</v>
      </c>
      <c r="G46" s="165" t="s">
        <v>71</v>
      </c>
      <c r="H46" s="165" t="s">
        <v>72</v>
      </c>
      <c r="I46" s="165" t="s">
        <v>73</v>
      </c>
      <c r="J46" s="165" t="s">
        <v>74</v>
      </c>
      <c r="K46" s="165" t="s">
        <v>75</v>
      </c>
      <c r="L46" s="165" t="s">
        <v>76</v>
      </c>
      <c r="M46" s="165" t="s">
        <v>77</v>
      </c>
      <c r="N46" s="165" t="s">
        <v>78</v>
      </c>
      <c r="O46" s="259" t="s">
        <v>0</v>
      </c>
      <c r="P46" s="129" t="s">
        <v>2</v>
      </c>
    </row>
    <row r="47" spans="1:19" ht="15" customHeight="1" x14ac:dyDescent="0.2">
      <c r="A47" s="168"/>
      <c r="B47" s="164"/>
      <c r="C47" s="169">
        <f>C5</f>
        <v>2018</v>
      </c>
      <c r="D47" s="169">
        <f t="shared" ref="D47:N47" si="7">D5</f>
        <v>2018</v>
      </c>
      <c r="E47" s="169">
        <f t="shared" si="7"/>
        <v>2018</v>
      </c>
      <c r="F47" s="169">
        <f t="shared" si="7"/>
        <v>2018</v>
      </c>
      <c r="G47" s="169">
        <f t="shared" si="7"/>
        <v>2018</v>
      </c>
      <c r="H47" s="169">
        <f t="shared" si="7"/>
        <v>2018</v>
      </c>
      <c r="I47" s="169">
        <f t="shared" si="7"/>
        <v>2018</v>
      </c>
      <c r="J47" s="169">
        <f t="shared" si="7"/>
        <v>2018</v>
      </c>
      <c r="K47" s="169">
        <f t="shared" si="7"/>
        <v>2018</v>
      </c>
      <c r="L47" s="169">
        <f t="shared" si="7"/>
        <v>2018</v>
      </c>
      <c r="M47" s="169">
        <f t="shared" si="7"/>
        <v>2018</v>
      </c>
      <c r="N47" s="169">
        <f t="shared" si="7"/>
        <v>2018</v>
      </c>
      <c r="O47" s="260"/>
      <c r="P47" s="130" t="s">
        <v>116</v>
      </c>
    </row>
    <row r="48" spans="1:19" ht="15" customHeight="1" x14ac:dyDescent="0.2">
      <c r="A48" s="173" t="s">
        <v>11</v>
      </c>
      <c r="B48" s="174" t="s">
        <v>0</v>
      </c>
      <c r="C48" s="175" t="s">
        <v>0</v>
      </c>
      <c r="D48" s="175" t="s">
        <v>0</v>
      </c>
      <c r="E48" s="175" t="s">
        <v>0</v>
      </c>
      <c r="F48" s="175" t="s">
        <v>0</v>
      </c>
      <c r="G48" s="175" t="s">
        <v>0</v>
      </c>
      <c r="H48" s="175" t="s">
        <v>0</v>
      </c>
      <c r="I48" s="175" t="s">
        <v>0</v>
      </c>
      <c r="J48" s="175" t="s">
        <v>0</v>
      </c>
      <c r="K48" s="175" t="s">
        <v>0</v>
      </c>
      <c r="L48" s="175" t="s">
        <v>0</v>
      </c>
      <c r="M48" s="175" t="s">
        <v>0</v>
      </c>
      <c r="N48" s="175" t="s">
        <v>0</v>
      </c>
      <c r="O48" s="266" t="s">
        <v>0</v>
      </c>
      <c r="P48" s="113" t="s">
        <v>0</v>
      </c>
    </row>
    <row r="49" spans="1:16" ht="15" customHeight="1" x14ac:dyDescent="0.2">
      <c r="A49" s="21" t="s">
        <v>20</v>
      </c>
      <c r="B49" s="16" t="s">
        <v>1</v>
      </c>
      <c r="C49" s="14"/>
      <c r="D49" s="14"/>
      <c r="E49" s="14"/>
      <c r="F49" s="14"/>
      <c r="G49" s="14"/>
      <c r="H49" s="14"/>
      <c r="I49" s="14"/>
      <c r="J49" s="14"/>
      <c r="K49" s="14"/>
      <c r="L49" s="14"/>
      <c r="M49" s="14"/>
      <c r="N49" s="14"/>
      <c r="O49" s="118" t="s">
        <v>0</v>
      </c>
      <c r="P49" s="118">
        <f t="shared" ref="P49:P56" si="8">SUM(C49:N49)</f>
        <v>0</v>
      </c>
    </row>
    <row r="50" spans="1:16" ht="15" customHeight="1" x14ac:dyDescent="0.2">
      <c r="A50" s="21" t="s">
        <v>21</v>
      </c>
      <c r="B50" s="16" t="s">
        <v>1</v>
      </c>
      <c r="C50" s="14"/>
      <c r="D50" s="14"/>
      <c r="E50" s="14"/>
      <c r="F50" s="14"/>
      <c r="G50" s="14"/>
      <c r="H50" s="14"/>
      <c r="I50" s="14"/>
      <c r="J50" s="14"/>
      <c r="K50" s="14"/>
      <c r="L50" s="14"/>
      <c r="M50" s="14"/>
      <c r="N50" s="14"/>
      <c r="O50" s="267" t="s">
        <v>0</v>
      </c>
      <c r="P50" s="118">
        <f t="shared" si="8"/>
        <v>0</v>
      </c>
    </row>
    <row r="51" spans="1:16" ht="15" customHeight="1" x14ac:dyDescent="0.2">
      <c r="A51" s="21" t="s">
        <v>22</v>
      </c>
      <c r="B51" s="16" t="s">
        <v>1</v>
      </c>
      <c r="C51" s="14"/>
      <c r="D51" s="14"/>
      <c r="E51" s="14"/>
      <c r="F51" s="14"/>
      <c r="G51" s="14"/>
      <c r="H51" s="14"/>
      <c r="I51" s="14"/>
      <c r="J51" s="14"/>
      <c r="K51" s="14"/>
      <c r="L51" s="14"/>
      <c r="M51" s="14"/>
      <c r="N51" s="14"/>
      <c r="O51" s="118" t="s">
        <v>0</v>
      </c>
      <c r="P51" s="118">
        <f t="shared" si="8"/>
        <v>0</v>
      </c>
    </row>
    <row r="52" spans="1:16" ht="15" customHeight="1" x14ac:dyDescent="0.2">
      <c r="A52" s="21" t="s">
        <v>23</v>
      </c>
      <c r="B52" s="16" t="s">
        <v>1</v>
      </c>
      <c r="C52" s="14"/>
      <c r="D52" s="14"/>
      <c r="E52" s="14"/>
      <c r="F52" s="14"/>
      <c r="G52" s="14"/>
      <c r="H52" s="14"/>
      <c r="I52" s="14"/>
      <c r="J52" s="14"/>
      <c r="K52" s="14"/>
      <c r="L52" s="14"/>
      <c r="M52" s="14"/>
      <c r="N52" s="14"/>
      <c r="O52" s="267" t="s">
        <v>0</v>
      </c>
      <c r="P52" s="118">
        <f t="shared" si="8"/>
        <v>0</v>
      </c>
    </row>
    <row r="53" spans="1:16" ht="15" customHeight="1" x14ac:dyDescent="0.2">
      <c r="A53" s="171" t="s">
        <v>24</v>
      </c>
      <c r="B53" s="172" t="s">
        <v>1</v>
      </c>
      <c r="C53" s="167">
        <f>SUM(C49:C52)</f>
        <v>0</v>
      </c>
      <c r="D53" s="167">
        <f t="shared" ref="D53:N53" si="9">SUM(D49:D52)</f>
        <v>0</v>
      </c>
      <c r="E53" s="167">
        <f t="shared" si="9"/>
        <v>0</v>
      </c>
      <c r="F53" s="167">
        <f t="shared" si="9"/>
        <v>0</v>
      </c>
      <c r="G53" s="167">
        <f t="shared" si="9"/>
        <v>0</v>
      </c>
      <c r="H53" s="167">
        <f t="shared" si="9"/>
        <v>0</v>
      </c>
      <c r="I53" s="167">
        <f t="shared" si="9"/>
        <v>0</v>
      </c>
      <c r="J53" s="167">
        <f t="shared" si="9"/>
        <v>0</v>
      </c>
      <c r="K53" s="167">
        <f t="shared" si="9"/>
        <v>0</v>
      </c>
      <c r="L53" s="167">
        <f t="shared" si="9"/>
        <v>0</v>
      </c>
      <c r="M53" s="167">
        <f t="shared" si="9"/>
        <v>0</v>
      </c>
      <c r="N53" s="167">
        <f t="shared" si="9"/>
        <v>0</v>
      </c>
      <c r="O53" s="118" t="s">
        <v>0</v>
      </c>
      <c r="P53" s="137">
        <f t="shared" si="8"/>
        <v>0</v>
      </c>
    </row>
    <row r="54" spans="1:16" ht="15" customHeight="1" x14ac:dyDescent="0.2">
      <c r="A54" s="21" t="s">
        <v>12</v>
      </c>
      <c r="B54" s="16" t="s">
        <v>1</v>
      </c>
      <c r="C54" s="14"/>
      <c r="D54" s="14"/>
      <c r="E54" s="14"/>
      <c r="F54" s="14"/>
      <c r="G54" s="14"/>
      <c r="H54" s="14"/>
      <c r="I54" s="14"/>
      <c r="J54" s="14"/>
      <c r="K54" s="14"/>
      <c r="L54" s="14"/>
      <c r="M54" s="14"/>
      <c r="N54" s="14"/>
      <c r="O54" s="267" t="s">
        <v>0</v>
      </c>
      <c r="P54" s="118">
        <f t="shared" si="8"/>
        <v>0</v>
      </c>
    </row>
    <row r="55" spans="1:16" ht="15" customHeight="1" x14ac:dyDescent="0.2">
      <c r="A55" s="31" t="s">
        <v>13</v>
      </c>
      <c r="B55" s="275" t="s">
        <v>1</v>
      </c>
      <c r="C55" s="276"/>
      <c r="D55" s="276"/>
      <c r="E55" s="276"/>
      <c r="F55" s="276"/>
      <c r="G55" s="276"/>
      <c r="H55" s="276"/>
      <c r="I55" s="276"/>
      <c r="J55" s="276"/>
      <c r="K55" s="276"/>
      <c r="L55" s="276"/>
      <c r="M55" s="276"/>
      <c r="N55" s="276"/>
      <c r="O55" s="122" t="s">
        <v>0</v>
      </c>
      <c r="P55" s="122">
        <f t="shared" si="8"/>
        <v>0</v>
      </c>
    </row>
    <row r="56" spans="1:16" ht="15" customHeight="1" x14ac:dyDescent="0.2">
      <c r="A56" s="278" t="s">
        <v>15</v>
      </c>
      <c r="B56" s="279" t="s">
        <v>1</v>
      </c>
      <c r="C56" s="280">
        <f>C53+C54+C55</f>
        <v>0</v>
      </c>
      <c r="D56" s="280">
        <f t="shared" ref="D56:N56" si="10">D53+D54+D55</f>
        <v>0</v>
      </c>
      <c r="E56" s="280">
        <f t="shared" si="10"/>
        <v>0</v>
      </c>
      <c r="F56" s="280">
        <f t="shared" si="10"/>
        <v>0</v>
      </c>
      <c r="G56" s="280">
        <f t="shared" si="10"/>
        <v>0</v>
      </c>
      <c r="H56" s="280">
        <f t="shared" si="10"/>
        <v>0</v>
      </c>
      <c r="I56" s="280">
        <f t="shared" si="10"/>
        <v>0</v>
      </c>
      <c r="J56" s="280">
        <f t="shared" si="10"/>
        <v>0</v>
      </c>
      <c r="K56" s="280">
        <f t="shared" si="10"/>
        <v>0</v>
      </c>
      <c r="L56" s="280">
        <f t="shared" si="10"/>
        <v>0</v>
      </c>
      <c r="M56" s="280">
        <f t="shared" si="10"/>
        <v>0</v>
      </c>
      <c r="N56" s="280">
        <f t="shared" si="10"/>
        <v>0</v>
      </c>
      <c r="O56" s="281" t="s">
        <v>0</v>
      </c>
      <c r="P56" s="126">
        <f t="shared" si="8"/>
        <v>0</v>
      </c>
    </row>
    <row r="57" spans="1:16" ht="15" customHeight="1" x14ac:dyDescent="0.2">
      <c r="A57" s="42"/>
      <c r="B57" s="43"/>
      <c r="C57" s="44"/>
      <c r="D57" s="44"/>
      <c r="E57" s="44"/>
      <c r="F57" s="44"/>
      <c r="G57" s="44"/>
      <c r="H57" s="44"/>
      <c r="I57" s="44"/>
      <c r="J57" s="44"/>
      <c r="K57" s="44"/>
      <c r="L57" s="44"/>
      <c r="M57" s="44"/>
      <c r="N57" s="44"/>
      <c r="O57" s="45"/>
      <c r="P57" s="46"/>
    </row>
    <row r="58" spans="1:16" ht="15" customHeight="1" x14ac:dyDescent="0.2">
      <c r="A58" s="176" t="s">
        <v>196</v>
      </c>
      <c r="B58" s="177" t="s">
        <v>1</v>
      </c>
      <c r="C58" s="258">
        <f t="shared" ref="C58:N58" si="11">C42+C56</f>
        <v>0</v>
      </c>
      <c r="D58" s="258">
        <f t="shared" si="11"/>
        <v>0</v>
      </c>
      <c r="E58" s="254">
        <f t="shared" si="11"/>
        <v>0</v>
      </c>
      <c r="F58" s="254">
        <f t="shared" si="11"/>
        <v>0</v>
      </c>
      <c r="G58" s="254">
        <f t="shared" si="11"/>
        <v>0</v>
      </c>
      <c r="H58" s="254">
        <f t="shared" si="11"/>
        <v>0</v>
      </c>
      <c r="I58" s="254">
        <f t="shared" si="11"/>
        <v>0</v>
      </c>
      <c r="J58" s="254">
        <f t="shared" si="11"/>
        <v>0</v>
      </c>
      <c r="K58" s="254">
        <f t="shared" si="11"/>
        <v>0</v>
      </c>
      <c r="L58" s="254">
        <f t="shared" si="11"/>
        <v>0</v>
      </c>
      <c r="M58" s="254">
        <f t="shared" si="11"/>
        <v>0</v>
      </c>
      <c r="N58" s="254">
        <f t="shared" si="11"/>
        <v>0</v>
      </c>
      <c r="O58" s="261" t="s">
        <v>0</v>
      </c>
      <c r="P58" s="126">
        <f>SUM(C58:N58)</f>
        <v>0</v>
      </c>
    </row>
    <row r="59" spans="1:16" ht="15" customHeight="1" x14ac:dyDescent="0.2">
      <c r="A59" s="13"/>
      <c r="B59" s="13"/>
      <c r="C59" s="13"/>
      <c r="D59" s="13"/>
      <c r="E59" s="13"/>
      <c r="F59" s="13"/>
      <c r="G59" s="13"/>
      <c r="H59" s="13"/>
      <c r="I59" s="13"/>
      <c r="J59" s="13"/>
      <c r="K59" s="13"/>
      <c r="L59" s="13"/>
      <c r="M59" s="13"/>
      <c r="N59" s="13"/>
      <c r="O59" s="13"/>
      <c r="P59" s="13"/>
    </row>
    <row r="60" spans="1:16" ht="15" customHeight="1" x14ac:dyDescent="0.2">
      <c r="A60" s="161" t="s">
        <v>25</v>
      </c>
      <c r="B60" s="163" t="s">
        <v>10</v>
      </c>
      <c r="C60" s="165" t="s">
        <v>94</v>
      </c>
      <c r="D60" s="165" t="s">
        <v>68</v>
      </c>
      <c r="E60" s="165" t="s">
        <v>69</v>
      </c>
      <c r="F60" s="165" t="s">
        <v>70</v>
      </c>
      <c r="G60" s="165" t="s">
        <v>71</v>
      </c>
      <c r="H60" s="165" t="s">
        <v>72</v>
      </c>
      <c r="I60" s="165" t="s">
        <v>73</v>
      </c>
      <c r="J60" s="165" t="s">
        <v>74</v>
      </c>
      <c r="K60" s="165" t="s">
        <v>75</v>
      </c>
      <c r="L60" s="165" t="s">
        <v>76</v>
      </c>
      <c r="M60" s="165" t="s">
        <v>77</v>
      </c>
      <c r="N60" s="165" t="s">
        <v>78</v>
      </c>
      <c r="O60" s="131" t="s">
        <v>93</v>
      </c>
      <c r="P60" s="129" t="s">
        <v>2</v>
      </c>
    </row>
    <row r="61" spans="1:16" ht="15" customHeight="1" x14ac:dyDescent="0.2">
      <c r="A61" s="270"/>
      <c r="B61" s="164"/>
      <c r="C61" s="169">
        <f t="shared" ref="C61:N61" si="12">C5</f>
        <v>2018</v>
      </c>
      <c r="D61" s="169">
        <f t="shared" si="12"/>
        <v>2018</v>
      </c>
      <c r="E61" s="169">
        <f t="shared" si="12"/>
        <v>2018</v>
      </c>
      <c r="F61" s="169">
        <f t="shared" si="12"/>
        <v>2018</v>
      </c>
      <c r="G61" s="169">
        <f t="shared" si="12"/>
        <v>2018</v>
      </c>
      <c r="H61" s="169">
        <f t="shared" si="12"/>
        <v>2018</v>
      </c>
      <c r="I61" s="169">
        <f t="shared" si="12"/>
        <v>2018</v>
      </c>
      <c r="J61" s="169">
        <f t="shared" si="12"/>
        <v>2018</v>
      </c>
      <c r="K61" s="169">
        <f t="shared" si="12"/>
        <v>2018</v>
      </c>
      <c r="L61" s="169">
        <f t="shared" si="12"/>
        <v>2018</v>
      </c>
      <c r="M61" s="169">
        <f t="shared" si="12"/>
        <v>2018</v>
      </c>
      <c r="N61" s="169">
        <f t="shared" si="12"/>
        <v>2018</v>
      </c>
      <c r="O61" s="132" t="s">
        <v>162</v>
      </c>
      <c r="P61" s="133"/>
    </row>
    <row r="62" spans="1:16" ht="15" customHeight="1" x14ac:dyDescent="0.2">
      <c r="A62" s="268" t="s">
        <v>26</v>
      </c>
      <c r="B62" s="269" t="s">
        <v>1</v>
      </c>
      <c r="C62" s="17"/>
      <c r="D62" s="17"/>
      <c r="E62" s="17"/>
      <c r="F62" s="17"/>
      <c r="G62" s="17"/>
      <c r="H62" s="17"/>
      <c r="I62" s="17"/>
      <c r="J62" s="17"/>
      <c r="K62" s="17"/>
      <c r="L62" s="17"/>
      <c r="M62" s="17"/>
      <c r="N62" s="17"/>
      <c r="O62" s="134">
        <f>IF(P62=0,0,P62/($P$75)*100)</f>
        <v>0</v>
      </c>
      <c r="P62" s="113">
        <f>SUM(C62:N62)</f>
        <v>0</v>
      </c>
    </row>
    <row r="63" spans="1:16" ht="15" customHeight="1" x14ac:dyDescent="0.2">
      <c r="A63" s="21" t="s">
        <v>37</v>
      </c>
      <c r="B63" s="16" t="s">
        <v>1</v>
      </c>
      <c r="C63" s="14"/>
      <c r="D63" s="14"/>
      <c r="E63" s="14"/>
      <c r="F63" s="14"/>
      <c r="G63" s="14"/>
      <c r="H63" s="14"/>
      <c r="I63" s="14"/>
      <c r="J63" s="14"/>
      <c r="K63" s="14"/>
      <c r="L63" s="14"/>
      <c r="M63" s="14"/>
      <c r="N63" s="14"/>
      <c r="O63" s="135">
        <f>IF(P63=0,0,P63/($P$75)*100)</f>
        <v>0</v>
      </c>
      <c r="P63" s="118">
        <f>SUM(C63:N63)</f>
        <v>0</v>
      </c>
    </row>
    <row r="64" spans="1:16" ht="15" customHeight="1" x14ac:dyDescent="0.2">
      <c r="A64" s="21" t="s">
        <v>208</v>
      </c>
      <c r="B64" s="16" t="s">
        <v>1</v>
      </c>
      <c r="C64" s="14"/>
      <c r="D64" s="14"/>
      <c r="E64" s="14"/>
      <c r="F64" s="14"/>
      <c r="G64" s="14"/>
      <c r="H64" s="14"/>
      <c r="I64" s="14"/>
      <c r="J64" s="14"/>
      <c r="K64" s="14"/>
      <c r="L64" s="14"/>
      <c r="M64" s="14"/>
      <c r="N64" s="14"/>
      <c r="O64" s="135">
        <f t="shared" ref="O64:O75" si="13">IF(P64=0,0,P64/($P$75)*100)</f>
        <v>0</v>
      </c>
      <c r="P64" s="118">
        <f>SUM(C64:N64)</f>
        <v>0</v>
      </c>
    </row>
    <row r="65" spans="1:16" ht="15" customHeight="1" x14ac:dyDescent="0.2">
      <c r="A65" s="178" t="s">
        <v>27</v>
      </c>
      <c r="B65" s="179" t="s">
        <v>1</v>
      </c>
      <c r="C65" s="189">
        <f t="shared" ref="C65:N65" si="14">SUM(C62:C64)</f>
        <v>0</v>
      </c>
      <c r="D65" s="189">
        <f t="shared" si="14"/>
        <v>0</v>
      </c>
      <c r="E65" s="189">
        <f t="shared" si="14"/>
        <v>0</v>
      </c>
      <c r="F65" s="189">
        <f t="shared" si="14"/>
        <v>0</v>
      </c>
      <c r="G65" s="189">
        <f t="shared" si="14"/>
        <v>0</v>
      </c>
      <c r="H65" s="189">
        <f t="shared" si="14"/>
        <v>0</v>
      </c>
      <c r="I65" s="189">
        <f t="shared" si="14"/>
        <v>0</v>
      </c>
      <c r="J65" s="189">
        <f t="shared" si="14"/>
        <v>0</v>
      </c>
      <c r="K65" s="189">
        <f t="shared" si="14"/>
        <v>0</v>
      </c>
      <c r="L65" s="189">
        <f t="shared" si="14"/>
        <v>0</v>
      </c>
      <c r="M65" s="189">
        <f t="shared" si="14"/>
        <v>0</v>
      </c>
      <c r="N65" s="189">
        <f t="shared" si="14"/>
        <v>0</v>
      </c>
      <c r="O65" s="136">
        <f t="shared" si="13"/>
        <v>0</v>
      </c>
      <c r="P65" s="137">
        <f>SUM(C65:N65)</f>
        <v>0</v>
      </c>
    </row>
    <row r="66" spans="1:16" ht="15" customHeight="1" x14ac:dyDescent="0.2">
      <c r="A66" s="180" t="s">
        <v>28</v>
      </c>
      <c r="B66" s="181" t="s">
        <v>0</v>
      </c>
      <c r="C66" s="182" t="s">
        <v>0</v>
      </c>
      <c r="D66" s="182" t="s">
        <v>0</v>
      </c>
      <c r="E66" s="182" t="s">
        <v>0</v>
      </c>
      <c r="F66" s="182" t="s">
        <v>0</v>
      </c>
      <c r="G66" s="182" t="s">
        <v>0</v>
      </c>
      <c r="H66" s="182" t="s">
        <v>0</v>
      </c>
      <c r="I66" s="182" t="s">
        <v>0</v>
      </c>
      <c r="J66" s="182" t="s">
        <v>0</v>
      </c>
      <c r="K66" s="182" t="s">
        <v>0</v>
      </c>
      <c r="L66" s="182" t="s">
        <v>0</v>
      </c>
      <c r="M66" s="182" t="s">
        <v>0</v>
      </c>
      <c r="N66" s="182" t="s">
        <v>0</v>
      </c>
      <c r="O66" s="135" t="s">
        <v>0</v>
      </c>
      <c r="P66" s="118" t="s">
        <v>0</v>
      </c>
    </row>
    <row r="67" spans="1:16" ht="15" customHeight="1" x14ac:dyDescent="0.2">
      <c r="A67" s="21" t="s">
        <v>29</v>
      </c>
      <c r="B67" s="16" t="s">
        <v>1</v>
      </c>
      <c r="C67" s="14"/>
      <c r="D67" s="14"/>
      <c r="E67" s="14"/>
      <c r="F67" s="14"/>
      <c r="G67" s="14"/>
      <c r="H67" s="14"/>
      <c r="I67" s="14"/>
      <c r="J67" s="14"/>
      <c r="K67" s="14"/>
      <c r="L67" s="14"/>
      <c r="M67" s="14"/>
      <c r="N67" s="14"/>
      <c r="O67" s="135">
        <f t="shared" si="13"/>
        <v>0</v>
      </c>
      <c r="P67" s="118">
        <f t="shared" ref="P67:P75" si="15">SUM(C67:N67)</f>
        <v>0</v>
      </c>
    </row>
    <row r="68" spans="1:16" ht="15" customHeight="1" x14ac:dyDescent="0.2">
      <c r="A68" s="21" t="s">
        <v>30</v>
      </c>
      <c r="B68" s="16" t="s">
        <v>1</v>
      </c>
      <c r="C68" s="14"/>
      <c r="D68" s="14"/>
      <c r="E68" s="14"/>
      <c r="F68" s="14"/>
      <c r="G68" s="14"/>
      <c r="H68" s="14"/>
      <c r="I68" s="14"/>
      <c r="J68" s="14"/>
      <c r="K68" s="14"/>
      <c r="L68" s="14"/>
      <c r="M68" s="14"/>
      <c r="N68" s="14"/>
      <c r="O68" s="135">
        <f t="shared" si="13"/>
        <v>0</v>
      </c>
      <c r="P68" s="118">
        <f t="shared" si="15"/>
        <v>0</v>
      </c>
    </row>
    <row r="69" spans="1:16" ht="15" customHeight="1" x14ac:dyDescent="0.2">
      <c r="A69" s="21" t="s">
        <v>31</v>
      </c>
      <c r="B69" s="16" t="s">
        <v>1</v>
      </c>
      <c r="C69" s="14"/>
      <c r="D69" s="14"/>
      <c r="E69" s="14"/>
      <c r="F69" s="14"/>
      <c r="G69" s="14"/>
      <c r="H69" s="14"/>
      <c r="I69" s="14"/>
      <c r="J69" s="14"/>
      <c r="K69" s="14"/>
      <c r="L69" s="14"/>
      <c r="M69" s="14"/>
      <c r="N69" s="14"/>
      <c r="O69" s="135">
        <f t="shared" si="13"/>
        <v>0</v>
      </c>
      <c r="P69" s="118">
        <f t="shared" si="15"/>
        <v>0</v>
      </c>
    </row>
    <row r="70" spans="1:16" ht="15" customHeight="1" x14ac:dyDescent="0.2">
      <c r="A70" s="21" t="s">
        <v>32</v>
      </c>
      <c r="B70" s="16" t="s">
        <v>1</v>
      </c>
      <c r="C70" s="14"/>
      <c r="D70" s="14"/>
      <c r="E70" s="14"/>
      <c r="F70" s="14"/>
      <c r="G70" s="14"/>
      <c r="H70" s="14"/>
      <c r="I70" s="14"/>
      <c r="J70" s="14"/>
      <c r="K70" s="14"/>
      <c r="L70" s="14"/>
      <c r="M70" s="14"/>
      <c r="N70" s="14"/>
      <c r="O70" s="135">
        <f t="shared" si="13"/>
        <v>0</v>
      </c>
      <c r="P70" s="118">
        <f t="shared" si="15"/>
        <v>0</v>
      </c>
    </row>
    <row r="71" spans="1:16" ht="15" customHeight="1" x14ac:dyDescent="0.2">
      <c r="A71" s="180" t="s">
        <v>33</v>
      </c>
      <c r="B71" s="179" t="s">
        <v>1</v>
      </c>
      <c r="C71" s="189">
        <f>SUM(C67:C70)</f>
        <v>0</v>
      </c>
      <c r="D71" s="189">
        <f t="shared" ref="D71:N71" si="16">SUM(D67:D70)</f>
        <v>0</v>
      </c>
      <c r="E71" s="189">
        <f t="shared" si="16"/>
        <v>0</v>
      </c>
      <c r="F71" s="189">
        <f t="shared" si="16"/>
        <v>0</v>
      </c>
      <c r="G71" s="189">
        <f t="shared" si="16"/>
        <v>0</v>
      </c>
      <c r="H71" s="189">
        <f t="shared" si="16"/>
        <v>0</v>
      </c>
      <c r="I71" s="189">
        <f t="shared" si="16"/>
        <v>0</v>
      </c>
      <c r="J71" s="189">
        <f t="shared" si="16"/>
        <v>0</v>
      </c>
      <c r="K71" s="189">
        <f t="shared" si="16"/>
        <v>0</v>
      </c>
      <c r="L71" s="189">
        <f t="shared" si="16"/>
        <v>0</v>
      </c>
      <c r="M71" s="189">
        <f t="shared" si="16"/>
        <v>0</v>
      </c>
      <c r="N71" s="189">
        <f t="shared" si="16"/>
        <v>0</v>
      </c>
      <c r="O71" s="252">
        <f t="shared" si="13"/>
        <v>0</v>
      </c>
      <c r="P71" s="137">
        <f t="shared" si="15"/>
        <v>0</v>
      </c>
    </row>
    <row r="72" spans="1:16" ht="15" customHeight="1" x14ac:dyDescent="0.2">
      <c r="A72" s="21" t="s">
        <v>34</v>
      </c>
      <c r="B72" s="16" t="s">
        <v>1</v>
      </c>
      <c r="C72" s="14"/>
      <c r="D72" s="14"/>
      <c r="E72" s="14"/>
      <c r="F72" s="14"/>
      <c r="G72" s="14"/>
      <c r="H72" s="14"/>
      <c r="I72" s="14"/>
      <c r="J72" s="14"/>
      <c r="K72" s="14"/>
      <c r="L72" s="14"/>
      <c r="M72" s="14"/>
      <c r="N72" s="14"/>
      <c r="O72" s="271">
        <f t="shared" si="13"/>
        <v>0</v>
      </c>
      <c r="P72" s="137">
        <f t="shared" si="15"/>
        <v>0</v>
      </c>
    </row>
    <row r="73" spans="1:16" ht="15" customHeight="1" x14ac:dyDescent="0.2">
      <c r="A73" s="21" t="s">
        <v>35</v>
      </c>
      <c r="B73" s="16" t="s">
        <v>1</v>
      </c>
      <c r="C73" s="14"/>
      <c r="D73" s="14"/>
      <c r="E73" s="14"/>
      <c r="F73" s="14"/>
      <c r="G73" s="14"/>
      <c r="H73" s="14"/>
      <c r="I73" s="14"/>
      <c r="J73" s="14"/>
      <c r="K73" s="14"/>
      <c r="L73" s="14"/>
      <c r="M73" s="14"/>
      <c r="N73" s="14"/>
      <c r="O73" s="271">
        <f t="shared" si="13"/>
        <v>0</v>
      </c>
      <c r="P73" s="137">
        <f t="shared" si="15"/>
        <v>0</v>
      </c>
    </row>
    <row r="74" spans="1:16" ht="15" customHeight="1" x14ac:dyDescent="0.2">
      <c r="A74" s="31" t="s">
        <v>36</v>
      </c>
      <c r="B74" s="275" t="s">
        <v>1</v>
      </c>
      <c r="C74" s="276"/>
      <c r="D74" s="276"/>
      <c r="E74" s="276"/>
      <c r="F74" s="276"/>
      <c r="G74" s="276"/>
      <c r="H74" s="276"/>
      <c r="I74" s="276"/>
      <c r="J74" s="276"/>
      <c r="K74" s="276"/>
      <c r="L74" s="276"/>
      <c r="M74" s="276"/>
      <c r="N74" s="276"/>
      <c r="O74" s="282">
        <f t="shared" si="13"/>
        <v>0</v>
      </c>
      <c r="P74" s="283">
        <f t="shared" si="15"/>
        <v>0</v>
      </c>
    </row>
    <row r="75" spans="1:16" ht="15" customHeight="1" x14ac:dyDescent="0.2">
      <c r="A75" s="273" t="s">
        <v>308</v>
      </c>
      <c r="B75" s="284" t="s">
        <v>1</v>
      </c>
      <c r="C75" s="254">
        <f>C65+C71+C72+C73+C74</f>
        <v>0</v>
      </c>
      <c r="D75" s="254">
        <f t="shared" ref="D75:N75" si="17">D65+D71+D72+D73+D74</f>
        <v>0</v>
      </c>
      <c r="E75" s="254">
        <f t="shared" si="17"/>
        <v>0</v>
      </c>
      <c r="F75" s="254">
        <f t="shared" si="17"/>
        <v>0</v>
      </c>
      <c r="G75" s="254">
        <f t="shared" si="17"/>
        <v>0</v>
      </c>
      <c r="H75" s="254">
        <f t="shared" si="17"/>
        <v>0</v>
      </c>
      <c r="I75" s="254">
        <f t="shared" si="17"/>
        <v>0</v>
      </c>
      <c r="J75" s="254">
        <f t="shared" si="17"/>
        <v>0</v>
      </c>
      <c r="K75" s="254">
        <f t="shared" si="17"/>
        <v>0</v>
      </c>
      <c r="L75" s="254">
        <f t="shared" si="17"/>
        <v>0</v>
      </c>
      <c r="M75" s="254">
        <f t="shared" si="17"/>
        <v>0</v>
      </c>
      <c r="N75" s="254">
        <f t="shared" si="17"/>
        <v>0</v>
      </c>
      <c r="O75" s="285">
        <f t="shared" si="13"/>
        <v>0</v>
      </c>
      <c r="P75" s="105">
        <f t="shared" si="15"/>
        <v>0</v>
      </c>
    </row>
    <row r="76" spans="1:16" ht="15" customHeight="1" x14ac:dyDescent="0.2">
      <c r="A76" s="22" t="s">
        <v>194</v>
      </c>
      <c r="B76" s="23" t="s">
        <v>1</v>
      </c>
      <c r="C76" s="76"/>
      <c r="D76" s="76"/>
      <c r="E76" s="76"/>
      <c r="F76" s="76"/>
      <c r="G76" s="76"/>
      <c r="H76" s="76"/>
      <c r="I76" s="76"/>
      <c r="J76" s="76"/>
      <c r="K76" s="76"/>
      <c r="L76" s="76"/>
      <c r="M76" s="76"/>
      <c r="N76" s="76"/>
      <c r="O76" s="419">
        <f>SUM(C76:N76)</f>
        <v>0</v>
      </c>
      <c r="P76" s="420"/>
    </row>
    <row r="77" spans="1:16" ht="15" customHeight="1" x14ac:dyDescent="0.2">
      <c r="A77" s="386" t="str">
        <f>A1</f>
        <v>Proprietário:</v>
      </c>
      <c r="B77" s="386"/>
      <c r="C77" s="386"/>
      <c r="D77" s="386"/>
      <c r="E77" s="386" t="str">
        <f>E1</f>
        <v>Propriedade:</v>
      </c>
      <c r="F77" s="386"/>
      <c r="G77" s="386"/>
      <c r="H77" s="386"/>
      <c r="I77" s="386"/>
      <c r="J77" s="386"/>
      <c r="K77" s="386"/>
      <c r="L77" s="386"/>
      <c r="M77" s="13"/>
      <c r="N77" s="13"/>
      <c r="O77" s="358"/>
      <c r="P77" s="358"/>
    </row>
    <row r="78" spans="1:16" ht="15" customHeight="1" x14ac:dyDescent="0.2">
      <c r="A78" s="387" t="str">
        <f>A2</f>
        <v>Município:</v>
      </c>
      <c r="B78" s="387"/>
      <c r="C78" s="387"/>
      <c r="D78" s="387"/>
      <c r="E78" s="385" t="str">
        <f>E2</f>
        <v>Área da atividade leiteira:</v>
      </c>
      <c r="F78" s="385"/>
      <c r="G78" s="385"/>
      <c r="H78" s="385"/>
      <c r="I78" s="166">
        <f>O113</f>
        <v>0</v>
      </c>
      <c r="J78" s="39" t="str">
        <f>J2</f>
        <v>ha</v>
      </c>
      <c r="K78" s="13"/>
      <c r="L78" s="13"/>
      <c r="M78" s="13"/>
      <c r="N78" s="13"/>
      <c r="O78" s="358"/>
      <c r="P78" s="358"/>
    </row>
    <row r="79" spans="1:16" ht="15" customHeight="1" x14ac:dyDescent="0.2">
      <c r="A79" s="388" t="str">
        <f>A3</f>
        <v>Técnico Responsável:</v>
      </c>
      <c r="B79" s="388"/>
      <c r="C79" s="388"/>
      <c r="D79" s="388"/>
      <c r="E79" s="339" t="str">
        <f>E3</f>
        <v xml:space="preserve">Entrada no Balde Cheio: </v>
      </c>
      <c r="F79" s="339"/>
      <c r="G79" s="340"/>
      <c r="H79" s="183">
        <f>H3</f>
        <v>0</v>
      </c>
      <c r="I79" s="183">
        <f>I3</f>
        <v>0</v>
      </c>
      <c r="J79" s="377" t="str">
        <f>L3</f>
        <v>versão BC 07</v>
      </c>
      <c r="K79" s="377"/>
      <c r="L79" s="377"/>
      <c r="M79" s="13"/>
      <c r="N79" s="13"/>
      <c r="O79" s="396"/>
      <c r="P79" s="396"/>
    </row>
    <row r="80" spans="1:16" ht="15" customHeight="1" x14ac:dyDescent="0.2">
      <c r="A80" s="184" t="s">
        <v>88</v>
      </c>
      <c r="B80" s="163" t="s">
        <v>10</v>
      </c>
      <c r="C80" s="165" t="s">
        <v>94</v>
      </c>
      <c r="D80" s="165" t="s">
        <v>68</v>
      </c>
      <c r="E80" s="165" t="s">
        <v>69</v>
      </c>
      <c r="F80" s="165" t="s">
        <v>70</v>
      </c>
      <c r="G80" s="165" t="s">
        <v>71</v>
      </c>
      <c r="H80" s="165" t="s">
        <v>72</v>
      </c>
      <c r="I80" s="165" t="s">
        <v>73</v>
      </c>
      <c r="J80" s="165" t="s">
        <v>74</v>
      </c>
      <c r="K80" s="165" t="s">
        <v>75</v>
      </c>
      <c r="L80" s="165" t="s">
        <v>76</v>
      </c>
      <c r="M80" s="165" t="s">
        <v>77</v>
      </c>
      <c r="N80" s="165" t="s">
        <v>78</v>
      </c>
      <c r="O80" s="359" t="s">
        <v>2</v>
      </c>
      <c r="P80" s="360"/>
    </row>
    <row r="81" spans="1:17" ht="15" customHeight="1" x14ac:dyDescent="0.2">
      <c r="A81" s="185" t="s">
        <v>89</v>
      </c>
      <c r="B81" s="169"/>
      <c r="C81" s="169">
        <f t="shared" ref="C81:N81" si="18">C5</f>
        <v>2018</v>
      </c>
      <c r="D81" s="169">
        <f t="shared" si="18"/>
        <v>2018</v>
      </c>
      <c r="E81" s="169">
        <f t="shared" si="18"/>
        <v>2018</v>
      </c>
      <c r="F81" s="169">
        <f t="shared" si="18"/>
        <v>2018</v>
      </c>
      <c r="G81" s="169">
        <f t="shared" si="18"/>
        <v>2018</v>
      </c>
      <c r="H81" s="169">
        <f t="shared" si="18"/>
        <v>2018</v>
      </c>
      <c r="I81" s="169">
        <f t="shared" si="18"/>
        <v>2018</v>
      </c>
      <c r="J81" s="169">
        <f t="shared" si="18"/>
        <v>2018</v>
      </c>
      <c r="K81" s="169">
        <f t="shared" si="18"/>
        <v>2018</v>
      </c>
      <c r="L81" s="169">
        <f t="shared" si="18"/>
        <v>2018</v>
      </c>
      <c r="M81" s="169">
        <f t="shared" si="18"/>
        <v>2018</v>
      </c>
      <c r="N81" s="169">
        <f t="shared" si="18"/>
        <v>2018</v>
      </c>
      <c r="O81" s="382"/>
      <c r="P81" s="383"/>
    </row>
    <row r="82" spans="1:17" ht="15" customHeight="1" x14ac:dyDescent="0.2">
      <c r="A82" s="20" t="s">
        <v>38</v>
      </c>
      <c r="B82" s="24" t="s">
        <v>49</v>
      </c>
      <c r="C82" s="25"/>
      <c r="D82" s="25"/>
      <c r="E82" s="25"/>
      <c r="F82" s="25"/>
      <c r="G82" s="25"/>
      <c r="H82" s="25"/>
      <c r="I82" s="25"/>
      <c r="J82" s="25"/>
      <c r="K82" s="25"/>
      <c r="L82" s="25"/>
      <c r="M82" s="25"/>
      <c r="N82" s="25"/>
      <c r="O82" s="352">
        <f>IFERROR(SUM(C82:N82),"")</f>
        <v>0</v>
      </c>
      <c r="P82" s="353"/>
    </row>
    <row r="83" spans="1:17" ht="15" customHeight="1" x14ac:dyDescent="0.2">
      <c r="A83" s="21" t="s">
        <v>39</v>
      </c>
      <c r="B83" s="26" t="s">
        <v>49</v>
      </c>
      <c r="C83" s="27"/>
      <c r="D83" s="27"/>
      <c r="E83" s="27"/>
      <c r="F83" s="27"/>
      <c r="G83" s="27"/>
      <c r="H83" s="27"/>
      <c r="I83" s="27"/>
      <c r="J83" s="27"/>
      <c r="K83" s="27"/>
      <c r="L83" s="27"/>
      <c r="M83" s="27"/>
      <c r="N83" s="27"/>
      <c r="O83" s="352">
        <f>IFERROR(SUM(C83:N83),"")</f>
        <v>0</v>
      </c>
      <c r="P83" s="353"/>
    </row>
    <row r="84" spans="1:17" ht="15" customHeight="1" x14ac:dyDescent="0.2">
      <c r="A84" s="21" t="s">
        <v>209</v>
      </c>
      <c r="B84" s="26" t="s">
        <v>49</v>
      </c>
      <c r="C84" s="28"/>
      <c r="D84" s="28"/>
      <c r="E84" s="28"/>
      <c r="F84" s="28"/>
      <c r="G84" s="28"/>
      <c r="H84" s="28"/>
      <c r="I84" s="28"/>
      <c r="J84" s="28"/>
      <c r="K84" s="28"/>
      <c r="L84" s="28"/>
      <c r="M84" s="28"/>
      <c r="N84" s="28"/>
      <c r="O84" s="352">
        <f>IFERROR(SUM(C84:N84),"")</f>
        <v>0</v>
      </c>
      <c r="P84" s="353"/>
    </row>
    <row r="85" spans="1:17" ht="15" customHeight="1" x14ac:dyDescent="0.2">
      <c r="A85" s="171" t="s">
        <v>40</v>
      </c>
      <c r="B85" s="186" t="s">
        <v>49</v>
      </c>
      <c r="C85" s="187">
        <f>IFERROR(C82+C83+C84,"")</f>
        <v>0</v>
      </c>
      <c r="D85" s="187">
        <f t="shared" ref="D85:N85" si="19">IFERROR(D82+D83+D84,"")</f>
        <v>0</v>
      </c>
      <c r="E85" s="187">
        <f t="shared" si="19"/>
        <v>0</v>
      </c>
      <c r="F85" s="187">
        <f t="shared" si="19"/>
        <v>0</v>
      </c>
      <c r="G85" s="187">
        <f t="shared" si="19"/>
        <v>0</v>
      </c>
      <c r="H85" s="187">
        <f t="shared" si="19"/>
        <v>0</v>
      </c>
      <c r="I85" s="187">
        <f t="shared" si="19"/>
        <v>0</v>
      </c>
      <c r="J85" s="187">
        <f t="shared" si="19"/>
        <v>0</v>
      </c>
      <c r="K85" s="187">
        <f t="shared" si="19"/>
        <v>0</v>
      </c>
      <c r="L85" s="187">
        <f t="shared" si="19"/>
        <v>0</v>
      </c>
      <c r="M85" s="187">
        <f t="shared" si="19"/>
        <v>0</v>
      </c>
      <c r="N85" s="187">
        <f t="shared" si="19"/>
        <v>0</v>
      </c>
      <c r="O85" s="392">
        <f>IFERROR(SUM(C85:N85),"")</f>
        <v>0</v>
      </c>
      <c r="P85" s="393"/>
    </row>
    <row r="86" spans="1:17" ht="15" customHeight="1" x14ac:dyDescent="0.2">
      <c r="A86" s="171" t="s">
        <v>169</v>
      </c>
      <c r="B86" s="186" t="s">
        <v>49</v>
      </c>
      <c r="C86" s="187">
        <f>IFERROR(C85/31,"")</f>
        <v>0</v>
      </c>
      <c r="D86" s="187">
        <f>IF(OR($C$5=$AB$2,$C$5=$AC$2,$C$5=$AD$2,$C$5=$AE$2,$C$5=$AF$2,$C$5=$AG$2,$C$5=$AH$2,$C$5=$AI$2,$C$5=$AJ$2),D85/29,D85/28)</f>
        <v>0</v>
      </c>
      <c r="E86" s="187">
        <f t="shared" ref="E86:N86" si="20">IFERROR(E85/31,"")</f>
        <v>0</v>
      </c>
      <c r="F86" s="187">
        <f>IFERROR(F85/30,"")</f>
        <v>0</v>
      </c>
      <c r="G86" s="187">
        <f t="shared" si="20"/>
        <v>0</v>
      </c>
      <c r="H86" s="187">
        <f>IFERROR(H85/30,"")</f>
        <v>0</v>
      </c>
      <c r="I86" s="187">
        <f t="shared" si="20"/>
        <v>0</v>
      </c>
      <c r="J86" s="187">
        <f t="shared" si="20"/>
        <v>0</v>
      </c>
      <c r="K86" s="187">
        <f>IFERROR(K85/30,"")</f>
        <v>0</v>
      </c>
      <c r="L86" s="187">
        <f t="shared" si="20"/>
        <v>0</v>
      </c>
      <c r="M86" s="187">
        <f>IFERROR(M85/30,"")</f>
        <v>0</v>
      </c>
      <c r="N86" s="187">
        <f t="shared" si="20"/>
        <v>0</v>
      </c>
      <c r="O86" s="352">
        <f>IF(OR($C$5=$AB$2,$C$5=$AC$2,$C$5=$AD$2,$C$5=$AE$2,$C$5=$AF$2,$C$5=$AG$2,$C$5=$AH$2,$C$5=$AI$2,$C$5=$AJ$2),O85/366,O85/365)</f>
        <v>0</v>
      </c>
      <c r="P86" s="353"/>
    </row>
    <row r="87" spans="1:17" ht="15" customHeight="1" x14ac:dyDescent="0.2">
      <c r="A87" s="21" t="s">
        <v>189</v>
      </c>
      <c r="B87" s="26" t="s">
        <v>49</v>
      </c>
      <c r="C87" s="298"/>
      <c r="D87" s="298"/>
      <c r="E87" s="298"/>
      <c r="F87" s="298"/>
      <c r="G87" s="298"/>
      <c r="H87" s="298"/>
      <c r="I87" s="298"/>
      <c r="J87" s="298"/>
      <c r="K87" s="298"/>
      <c r="L87" s="298"/>
      <c r="M87" s="298"/>
      <c r="N87" s="298"/>
      <c r="O87" s="352">
        <f>IFERROR(SUM(C87:N87),"")</f>
        <v>0</v>
      </c>
      <c r="P87" s="353"/>
    </row>
    <row r="88" spans="1:17" ht="15" customHeight="1" x14ac:dyDescent="0.2">
      <c r="A88" s="21" t="s">
        <v>190</v>
      </c>
      <c r="B88" s="26" t="s">
        <v>49</v>
      </c>
      <c r="C88" s="298"/>
      <c r="D88" s="298"/>
      <c r="E88" s="298"/>
      <c r="F88" s="28"/>
      <c r="G88" s="298"/>
      <c r="H88" s="298"/>
      <c r="I88" s="298"/>
      <c r="J88" s="298"/>
      <c r="K88" s="298"/>
      <c r="L88" s="298"/>
      <c r="M88" s="298"/>
      <c r="N88" s="298"/>
      <c r="O88" s="352">
        <f>IFERROR(SUM(C88:N88),"")</f>
        <v>0</v>
      </c>
      <c r="P88" s="353"/>
    </row>
    <row r="89" spans="1:17" ht="15" customHeight="1" x14ac:dyDescent="0.2">
      <c r="A89" s="171" t="s">
        <v>191</v>
      </c>
      <c r="B89" s="186" t="s">
        <v>49</v>
      </c>
      <c r="C89" s="187">
        <f>IFERROR(C85+C87+C88,"")</f>
        <v>0</v>
      </c>
      <c r="D89" s="187">
        <f t="shared" ref="D89:N89" si="21">IFERROR(D85+D87+D88,"")</f>
        <v>0</v>
      </c>
      <c r="E89" s="187">
        <f t="shared" si="21"/>
        <v>0</v>
      </c>
      <c r="F89" s="187">
        <f t="shared" si="21"/>
        <v>0</v>
      </c>
      <c r="G89" s="187">
        <f t="shared" si="21"/>
        <v>0</v>
      </c>
      <c r="H89" s="187">
        <f t="shared" si="21"/>
        <v>0</v>
      </c>
      <c r="I89" s="187">
        <f t="shared" si="21"/>
        <v>0</v>
      </c>
      <c r="J89" s="187">
        <f t="shared" si="21"/>
        <v>0</v>
      </c>
      <c r="K89" s="187">
        <f t="shared" si="21"/>
        <v>0</v>
      </c>
      <c r="L89" s="187">
        <f t="shared" si="21"/>
        <v>0</v>
      </c>
      <c r="M89" s="187">
        <f t="shared" si="21"/>
        <v>0</v>
      </c>
      <c r="N89" s="187">
        <f t="shared" si="21"/>
        <v>0</v>
      </c>
      <c r="O89" s="392">
        <f>IFERROR(SUM(C89:N89),"")</f>
        <v>0</v>
      </c>
      <c r="P89" s="393"/>
    </row>
    <row r="90" spans="1:17" ht="15" customHeight="1" x14ac:dyDescent="0.2">
      <c r="A90" s="171" t="s">
        <v>211</v>
      </c>
      <c r="B90" s="186" t="s">
        <v>49</v>
      </c>
      <c r="C90" s="187">
        <f>IFERROR(C89/31,"")</f>
        <v>0</v>
      </c>
      <c r="D90" s="187">
        <f>IF(OR($C$5=$AB$2,$C$5=$AC$2,$C$5=$AD$2,$C$5=$AE$2,$C$5=$AF$2,$C$5=$AG$2,$C$5=$AH$2,$C$5=$AI$2,$C$5=$AJ$2),D89/29,D89/28)</f>
        <v>0</v>
      </c>
      <c r="E90" s="187">
        <f t="shared" ref="E90:N90" si="22">IFERROR(E89/31,"")</f>
        <v>0</v>
      </c>
      <c r="F90" s="187">
        <f>IFERROR(F89/30,"")</f>
        <v>0</v>
      </c>
      <c r="G90" s="187">
        <f t="shared" si="22"/>
        <v>0</v>
      </c>
      <c r="H90" s="187">
        <f>IFERROR(H89/30,"")</f>
        <v>0</v>
      </c>
      <c r="I90" s="187">
        <f t="shared" si="22"/>
        <v>0</v>
      </c>
      <c r="J90" s="187">
        <f t="shared" si="22"/>
        <v>0</v>
      </c>
      <c r="K90" s="187">
        <f>IFERROR(K89/30,"")</f>
        <v>0</v>
      </c>
      <c r="L90" s="187">
        <f t="shared" si="22"/>
        <v>0</v>
      </c>
      <c r="M90" s="187">
        <f>IFERROR(M89/30,"")</f>
        <v>0</v>
      </c>
      <c r="N90" s="187">
        <f t="shared" si="22"/>
        <v>0</v>
      </c>
      <c r="O90" s="352">
        <f>IF(OR($C$5=$AB$2,$C$5=$AC$2,$C$5=$AD$2,$C$5=$AE$2,$C$5=$AF$2,$C$5=$AG$2,$C$5=$AH$2,$C$5=$AI$2,$C$5=$AJ$2),O89/366,O89/365)</f>
        <v>0</v>
      </c>
      <c r="P90" s="353"/>
    </row>
    <row r="91" spans="1:17" ht="15" customHeight="1" x14ac:dyDescent="0.2">
      <c r="A91" s="171" t="s">
        <v>313</v>
      </c>
      <c r="B91" s="186" t="s">
        <v>14</v>
      </c>
      <c r="C91" s="187" t="str">
        <f>IFERROR((C85/C89)*100,"")</f>
        <v/>
      </c>
      <c r="D91" s="187" t="str">
        <f t="shared" ref="D91:N91" si="23">IFERROR((D85/D89)*100,"")</f>
        <v/>
      </c>
      <c r="E91" s="187" t="str">
        <f t="shared" si="23"/>
        <v/>
      </c>
      <c r="F91" s="187" t="str">
        <f t="shared" si="23"/>
        <v/>
      </c>
      <c r="G91" s="187" t="str">
        <f t="shared" si="23"/>
        <v/>
      </c>
      <c r="H91" s="187" t="str">
        <f t="shared" si="23"/>
        <v/>
      </c>
      <c r="I91" s="187" t="str">
        <f t="shared" si="23"/>
        <v/>
      </c>
      <c r="J91" s="187" t="str">
        <f t="shared" si="23"/>
        <v/>
      </c>
      <c r="K91" s="187" t="str">
        <f t="shared" si="23"/>
        <v/>
      </c>
      <c r="L91" s="187" t="str">
        <f t="shared" si="23"/>
        <v/>
      </c>
      <c r="M91" s="187" t="str">
        <f t="shared" si="23"/>
        <v/>
      </c>
      <c r="N91" s="187" t="str">
        <f t="shared" si="23"/>
        <v/>
      </c>
      <c r="O91" s="417" t="str">
        <f>IFERROR((O85/O89)*100,"")</f>
        <v/>
      </c>
      <c r="P91" s="418"/>
    </row>
    <row r="92" spans="1:17" ht="15" customHeight="1" x14ac:dyDescent="0.2">
      <c r="A92" s="21" t="s">
        <v>315</v>
      </c>
      <c r="B92" s="26" t="s">
        <v>45</v>
      </c>
      <c r="C92" s="298"/>
      <c r="D92" s="298"/>
      <c r="E92" s="298"/>
      <c r="F92" s="298"/>
      <c r="G92" s="298"/>
      <c r="H92" s="298"/>
      <c r="I92" s="298"/>
      <c r="J92" s="298"/>
      <c r="K92" s="298"/>
      <c r="L92" s="298"/>
      <c r="M92" s="298"/>
      <c r="N92" s="298"/>
      <c r="O92" s="401">
        <f>IFERROR(IF(OR($C$5=$AB$2,$C$5=$AC$2,$C$5=$AD$2,$C$5=$AE$2,$C$5=$AF$2,$C$5=$AG$2,$C$5=$AH$2,$C$5=$AI$2,$C$5=$AJ$2),((C92*31)+(IF(OR($C$5=$AB$2,$C$5=$AC$2,$C$5=$AD$2,$C$5=$AE$2,$C$5=$AF$2,$C$5=$AG$2,$C$5=$AH$2,$C$5=$AI$2,$C$5=$AJ$2),D92*29,D92*28))+(E92*31)+(F92*30)+(G92*31)+(H92*30)+(I92*31)+(J92*31)+(K92*30)+(L92*31)+(M92*30)+(N92*31))/366,((C92*31)+(IF(OR($C$5=$AB$2,$C$5=$AC$2,$C$5=$AD$2,$C$5=$AE$2,$C$5=$AF$2,$C$5=$AG$2,$C$5=$AH$2,$C$5=$AI$2,$C$5=$AJ$2),D92*29,D92*28))+(E92*31)+(F92*30)+(G92*31)+(H92*30)+(I92*31)+(J92*31)+(K92*30)+(L92*31)+(M92*30)+(N92*31))/365),"")</f>
        <v>0</v>
      </c>
      <c r="P92" s="402"/>
      <c r="Q92" s="253"/>
    </row>
    <row r="93" spans="1:17" ht="15" customHeight="1" x14ac:dyDescent="0.2">
      <c r="A93" s="21" t="s">
        <v>316</v>
      </c>
      <c r="B93" s="26" t="s">
        <v>45</v>
      </c>
      <c r="C93" s="298"/>
      <c r="D93" s="298"/>
      <c r="E93" s="298"/>
      <c r="F93" s="298"/>
      <c r="G93" s="298"/>
      <c r="H93" s="298"/>
      <c r="I93" s="298"/>
      <c r="J93" s="298"/>
      <c r="K93" s="298"/>
      <c r="L93" s="298"/>
      <c r="M93" s="298"/>
      <c r="N93" s="298"/>
      <c r="O93" s="401">
        <f>IFERROR(IF(OR($C$5=$AB$2,$C$5=$AC$2,$C$5=$AD$2,$C$5=$AE$2,$C$5=$AF$2,$C$5=$AG$2,$C$5=$AH$2,$C$5=$AI$2,$C$5=$AJ$2),((C93*31)+(D93*29)+(E93*31)+(F93*30)+(G93*31)+(H93*30)+(I93*31)+(J93*31)+(K93*30)+(L93*31)+(M93*30)+(N93*31))/366,((C93*31)+(D93*28)+(E93*31)+(F93*30)+(G93*31)+(H93*30)+(I93*31)+(J93*31)+(K93*30)+(L93*31)+(M93*30)+(N93*31))/365),"")</f>
        <v>0</v>
      </c>
      <c r="P93" s="402"/>
    </row>
    <row r="94" spans="1:17" ht="15" customHeight="1" x14ac:dyDescent="0.2">
      <c r="A94" s="171" t="s">
        <v>317</v>
      </c>
      <c r="B94" s="186" t="s">
        <v>14</v>
      </c>
      <c r="C94" s="188" t="str">
        <f>IFERROR((C92/(C92+C93))*100,"")</f>
        <v/>
      </c>
      <c r="D94" s="188" t="str">
        <f t="shared" ref="D94:N94" si="24">IFERROR((D92/(D92+D93))*100,"")</f>
        <v/>
      </c>
      <c r="E94" s="188" t="str">
        <f t="shared" si="24"/>
        <v/>
      </c>
      <c r="F94" s="188" t="str">
        <f t="shared" si="24"/>
        <v/>
      </c>
      <c r="G94" s="188" t="str">
        <f t="shared" si="24"/>
        <v/>
      </c>
      <c r="H94" s="188" t="str">
        <f t="shared" si="24"/>
        <v/>
      </c>
      <c r="I94" s="188" t="str">
        <f t="shared" si="24"/>
        <v/>
      </c>
      <c r="J94" s="188" t="str">
        <f t="shared" si="24"/>
        <v/>
      </c>
      <c r="K94" s="188" t="str">
        <f t="shared" si="24"/>
        <v/>
      </c>
      <c r="L94" s="188" t="str">
        <f t="shared" si="24"/>
        <v/>
      </c>
      <c r="M94" s="188" t="str">
        <f t="shared" si="24"/>
        <v/>
      </c>
      <c r="N94" s="188" t="str">
        <f t="shared" si="24"/>
        <v/>
      </c>
      <c r="O94" s="405" t="str">
        <f>IFERROR((O92/(O92+O93))*100,"")</f>
        <v/>
      </c>
      <c r="P94" s="406" t="e">
        <f t="shared" ref="P94" si="25">P92/(P92+P93)*100</f>
        <v>#DIV/0!</v>
      </c>
      <c r="Q94" s="253"/>
    </row>
    <row r="95" spans="1:17" ht="15" customHeight="1" x14ac:dyDescent="0.2">
      <c r="A95" s="171" t="s">
        <v>318</v>
      </c>
      <c r="B95" s="186" t="s">
        <v>87</v>
      </c>
      <c r="C95" s="194" t="str">
        <f>IFERROR(C92/C113,"")</f>
        <v/>
      </c>
      <c r="D95" s="194" t="str">
        <f t="shared" ref="D95:N95" si="26">IFERROR(D92/D113,"")</f>
        <v/>
      </c>
      <c r="E95" s="194" t="str">
        <f t="shared" si="26"/>
        <v/>
      </c>
      <c r="F95" s="194" t="str">
        <f t="shared" si="26"/>
        <v/>
      </c>
      <c r="G95" s="194" t="str">
        <f t="shared" si="26"/>
        <v/>
      </c>
      <c r="H95" s="194" t="str">
        <f t="shared" si="26"/>
        <v/>
      </c>
      <c r="I95" s="194" t="str">
        <f t="shared" si="26"/>
        <v/>
      </c>
      <c r="J95" s="194" t="str">
        <f t="shared" si="26"/>
        <v/>
      </c>
      <c r="K95" s="194" t="str">
        <f t="shared" si="26"/>
        <v/>
      </c>
      <c r="L95" s="194" t="str">
        <f t="shared" si="26"/>
        <v/>
      </c>
      <c r="M95" s="194" t="str">
        <f t="shared" si="26"/>
        <v/>
      </c>
      <c r="N95" s="194" t="str">
        <f t="shared" si="26"/>
        <v/>
      </c>
      <c r="O95" s="374" t="str">
        <f>IFERROR(IF(OR($C$5=$AB$2,$C$5=$AC$2,$C$5=$AD$2,$C$5=$AE$2,$C$5=$AF$2,$C$5=$AG$2,$C$5=$AH$2,$C$5=$AI$2,$C$5=$AJ$2),(((C92*31)+(D92*28)+(E92*31)+(F92*30)+(G92*31)+(H92*30)+(I92*31)+(J92*31)+(K92*30)+(L92*31)+(M92*30)+(N92*31))/365)/O113,(((C92*31)+(D92*28)+(E92*31)+(F92*30)+(G92*31)+(H92*30)+(I92*31)+(J92*31)+(K92*30)+(L92*31)+(M92*30)+(N92*31))/365)/O113),"")</f>
        <v/>
      </c>
      <c r="P95" s="375"/>
    </row>
    <row r="96" spans="1:17" ht="15" customHeight="1" x14ac:dyDescent="0.2">
      <c r="A96" s="171" t="s">
        <v>319</v>
      </c>
      <c r="B96" s="186" t="s">
        <v>140</v>
      </c>
      <c r="C96" s="194" t="str">
        <f>IFERROR((C89/C92)/31,"")</f>
        <v/>
      </c>
      <c r="D96" s="194" t="str">
        <f>IFERROR(IF(OR($C$5=$AB$2,$C$5=$AC$2,$C$5=$AD$2,$C$5=$AE$2,$C$5=$AF$2,$C$5=$AG$2,$C$5=$AH$2,$C$5=$AI$2,$C$5=$AJ$2),(D89/D92)/29,(D89/D92)/28),"")</f>
        <v/>
      </c>
      <c r="E96" s="194" t="str">
        <f t="shared" ref="E96:N96" si="27">IFERROR((E89/E92)/31,"")</f>
        <v/>
      </c>
      <c r="F96" s="194" t="str">
        <f>IFERROR((F89/F92)/30,"")</f>
        <v/>
      </c>
      <c r="G96" s="194" t="str">
        <f t="shared" si="27"/>
        <v/>
      </c>
      <c r="H96" s="194" t="str">
        <f>IFERROR((H89/H92)/30,"")</f>
        <v/>
      </c>
      <c r="I96" s="194" t="str">
        <f t="shared" si="27"/>
        <v/>
      </c>
      <c r="J96" s="194" t="str">
        <f t="shared" si="27"/>
        <v/>
      </c>
      <c r="K96" s="194" t="str">
        <f>IFERROR((K89/K92)/30,"")</f>
        <v/>
      </c>
      <c r="L96" s="194" t="str">
        <f t="shared" si="27"/>
        <v/>
      </c>
      <c r="M96" s="194" t="str">
        <f>IFERROR((M89/M92)/30,"")</f>
        <v/>
      </c>
      <c r="N96" s="194" t="str">
        <f t="shared" si="27"/>
        <v/>
      </c>
      <c r="O96" s="347" t="str">
        <f>IFERROR(IF(OR($C$5=$AB$2,$C$5=$AC$2,$C$5=$AD$2,$C$5=$AE$2,$C$5=$AF$2,$C$5=$AG$2,$C$5=$AH$2,$C$5=$AI$2,$C$5=$AJ$2),(O89/O92)/366,(O89/O92)/365),"")</f>
        <v/>
      </c>
      <c r="P96" s="348"/>
    </row>
    <row r="97" spans="1:16" ht="15" customHeight="1" x14ac:dyDescent="0.2">
      <c r="A97" s="171" t="s">
        <v>320</v>
      </c>
      <c r="B97" s="186" t="s">
        <v>140</v>
      </c>
      <c r="C97" s="194" t="str">
        <f>IFERROR((C89/(C92+C93))/31,"")</f>
        <v/>
      </c>
      <c r="D97" s="194" t="str">
        <f>IFERROR(IF(OR($C$5=$AB$2,$C$5=$AC$2,$C$5=$AD$2,$C$5=$AE$2,$C$5=$AF$2,$C$5=$AG$2,$C$5=$AH$2,$C$5=$AI$2,$C$5=$AJ$2),(D89/(D92+D93))/29,(D89/(D92+D93))/28),"")</f>
        <v/>
      </c>
      <c r="E97" s="194" t="str">
        <f t="shared" ref="E97:N97" si="28">IFERROR((E89/(E92+E93))/31,"")</f>
        <v/>
      </c>
      <c r="F97" s="194" t="str">
        <f>IFERROR((F89/(F92+F93))/30,"")</f>
        <v/>
      </c>
      <c r="G97" s="194" t="str">
        <f t="shared" si="28"/>
        <v/>
      </c>
      <c r="H97" s="194" t="str">
        <f>IFERROR((H89/(H92+H93))/30,"")</f>
        <v/>
      </c>
      <c r="I97" s="194" t="str">
        <f t="shared" si="28"/>
        <v/>
      </c>
      <c r="J97" s="194" t="str">
        <f t="shared" si="28"/>
        <v/>
      </c>
      <c r="K97" s="194" t="str">
        <f>IFERROR((K89/(K92+K93))/30,"")</f>
        <v/>
      </c>
      <c r="L97" s="194" t="str">
        <f t="shared" si="28"/>
        <v/>
      </c>
      <c r="M97" s="194" t="str">
        <f>IFERROR((M89/(M92+M93))/30,"")</f>
        <v/>
      </c>
      <c r="N97" s="194" t="str">
        <f t="shared" si="28"/>
        <v/>
      </c>
      <c r="O97" s="347" t="str">
        <f>IFERROR(IF(OR($C$5=$AB$2,$C$5=$AC$2,$C$5=$AD$2,$C$5=$AE$2,$C$5=$AF$2,$C$5=$AG$2,$C$5=$AH$2,$C$5=$AI$2,$C$5=$AJ$2),(O89/(O92+O93))/366,(O89/(O92+O93))/365),"")</f>
        <v/>
      </c>
      <c r="P97" s="348"/>
    </row>
    <row r="98" spans="1:16" ht="15" customHeight="1" x14ac:dyDescent="0.2">
      <c r="A98" s="21" t="s">
        <v>342</v>
      </c>
      <c r="B98" s="26" t="s">
        <v>45</v>
      </c>
      <c r="C98" s="299"/>
      <c r="D98" s="299"/>
      <c r="E98" s="299"/>
      <c r="F98" s="299"/>
      <c r="G98" s="29"/>
      <c r="H98" s="29"/>
      <c r="I98" s="29"/>
      <c r="J98" s="29"/>
      <c r="K98" s="29"/>
      <c r="L98" s="29"/>
      <c r="M98" s="29"/>
      <c r="N98" s="29"/>
      <c r="O98" s="409">
        <f>IFERROR(IF(OR($C$5=$AB$2,$C$5=$AC$2,$C$5=$AD$2,$C$5=$AE$2,$C$5=$AF$2,$C$5=$AG$2,$C$5=$AH$2,$C$5=$AI$2,$C$5=$AJ$2),((C98*31)+(IF(OR($C$5=$AB$2,$C$5=$AC$2,$C$5=$AD$2,$C$5=$AE$2,$C$5=$AF$2,$C$5=$AG$2,$C$5=$AH$2,$C$5=$AI$2,$C$5=$AJ$2),D98*29,D98*28))+(E98*31)+(F98*30)+(G98*31)+(H98*30)+(I98*31)+(J98*31)+(K98*30)+(L98*31)+(M98*30)+(N98*31))/366,((C98*31)+(IF(OR($C$5=$AB$2,$C$5=$AC$2,$C$5=$AD$2,$C$5=$AE$2,$C$5=$AF$2,$C$5=$AG$2,$C$5=$AH$2,$C$5=$AI$2,$C$5=$AJ$2),D98*29,D98*28))+(E98*31)+(F98*30)+(G98*31)+(H98*30)+(I98*31)+(J98*31)+(K98*30)+(L98*31)+(M98*30)+(N98*31))/365),"")</f>
        <v>0</v>
      </c>
      <c r="P98" s="410"/>
    </row>
    <row r="99" spans="1:16" ht="15" customHeight="1" x14ac:dyDescent="0.2">
      <c r="A99" s="21" t="s">
        <v>343</v>
      </c>
      <c r="B99" s="26" t="s">
        <v>45</v>
      </c>
      <c r="C99" s="299"/>
      <c r="D99" s="299"/>
      <c r="E99" s="299"/>
      <c r="F99" s="299"/>
      <c r="G99" s="29"/>
      <c r="H99" s="29"/>
      <c r="I99" s="29"/>
      <c r="J99" s="29"/>
      <c r="K99" s="29"/>
      <c r="L99" s="29"/>
      <c r="M99" s="29"/>
      <c r="N99" s="29"/>
      <c r="O99" s="409">
        <f>IFERROR(IF(OR($C$5=$AB$2,$C$5=$AC$2,$C$5=$AD$2,$C$5=$AE$2,$C$5=$AF$2,$C$5=$AG$2,$C$5=$AH$2,$C$5=$AI$2,$C$5=$AJ$2),((C99*31)+(IF(OR($C$5=$AB$2,$C$5=$AC$2,$C$5=$AD$2,$C$5=$AE$2,$C$5=$AF$2,$C$5=$AG$2,$C$5=$AH$2,$C$5=$AI$2,$C$5=$AJ$2),D99*29,D99*28))+(E99*31)+(F99*30)+(G99*31)+(H99*30)+(I99*31)+(J99*31)+(K99*30)+(L99*31)+(M99*30)+(N99*31))/366,((C99*31)+(IF(OR($C$5=$AB$2,$C$5=$AC$2,$C$5=$AD$2,$C$5=$AE$2,$C$5=$AF$2,$C$5=$AG$2,$C$5=$AH$2,$C$5=$AI$2,$C$5=$AJ$2),D99*29,D99*28))+(E99*31)+(F99*30)+(G99*31)+(H99*30)+(I99*31)+(J99*31)+(K99*30)+(L99*31)+(M99*30)+(N99*31))/365),"")</f>
        <v>0</v>
      </c>
      <c r="P99" s="410"/>
    </row>
    <row r="100" spans="1:16" ht="15" customHeight="1" x14ac:dyDescent="0.2">
      <c r="A100" s="21" t="s">
        <v>321</v>
      </c>
      <c r="B100" s="26" t="s">
        <v>45</v>
      </c>
      <c r="C100" s="299"/>
      <c r="D100" s="299"/>
      <c r="E100" s="299"/>
      <c r="F100" s="299"/>
      <c r="G100" s="29"/>
      <c r="H100" s="29"/>
      <c r="I100" s="29"/>
      <c r="J100" s="29"/>
      <c r="K100" s="29"/>
      <c r="L100" s="29"/>
      <c r="M100" s="29"/>
      <c r="N100" s="29"/>
      <c r="O100" s="409">
        <f>IFERROR(IF(OR($C$5=$AB$2,$C$5=$AC$2,$C$5=$AD$2,$C$5=$AE$2,$C$5=$AF$2,$C$5=$AG$2,$C$5=$AH$2,$C$5=$AI$2,$C$5=$AJ$2),((C100*31)+(IF(OR($C$5=$AB$2,$C$5=$AC$2,$C$5=$AD$2,$C$5=$AE$2,$C$5=$AF$2,$C$5=$AG$2,$C$5=$AH$2,$C$5=$AI$2,$C$5=$AJ$2),D100*29,D100*28))+(E100*31)+(F100*30)+(G100*31)+(H100*30)+(I100*31)+(J100*31)+(K100*30)+(L100*31)+(M100*30)+(N100*31))/366,((C100*31)+(IF(OR($C$5=$AB$2,$C$5=$AC$2,$C$5=$AD$2,$C$5=$AE$2,$C$5=$AF$2,$C$5=$AG$2,$C$5=$AH$2,$C$5=$AI$2,$C$5=$AJ$2),D100*29,D100*28))+(E100*31)+(F100*30)+(G100*31)+(H100*30)+(I100*31)+(J100*31)+(K100*30)+(L100*31)+(M100*30)+(N100*31))/365),"")</f>
        <v>0</v>
      </c>
      <c r="P100" s="410"/>
    </row>
    <row r="101" spans="1:16" ht="15" customHeight="1" x14ac:dyDescent="0.2">
      <c r="A101" s="171" t="s">
        <v>322</v>
      </c>
      <c r="B101" s="186" t="s">
        <v>14</v>
      </c>
      <c r="C101" s="190" t="str">
        <f>IFERROR(((C92+C93)/(C92+C93+C98+C99+C100))*100,"")</f>
        <v/>
      </c>
      <c r="D101" s="190" t="str">
        <f>IFERROR(((D92+D93)/(D92+D93+D98+D99+D100))*100,"")</f>
        <v/>
      </c>
      <c r="E101" s="190" t="str">
        <f t="shared" ref="E101:N101" si="29">IFERROR(((E92+E93)/(E92+E93+E98+E99+E100))*100,"")</f>
        <v/>
      </c>
      <c r="F101" s="190" t="str">
        <f t="shared" si="29"/>
        <v/>
      </c>
      <c r="G101" s="190" t="str">
        <f t="shared" si="29"/>
        <v/>
      </c>
      <c r="H101" s="190" t="str">
        <f t="shared" si="29"/>
        <v/>
      </c>
      <c r="I101" s="190" t="str">
        <f t="shared" si="29"/>
        <v/>
      </c>
      <c r="J101" s="190" t="str">
        <f t="shared" si="29"/>
        <v/>
      </c>
      <c r="K101" s="190" t="str">
        <f t="shared" si="29"/>
        <v/>
      </c>
      <c r="L101" s="190" t="str">
        <f t="shared" si="29"/>
        <v/>
      </c>
      <c r="M101" s="190" t="str">
        <f t="shared" si="29"/>
        <v/>
      </c>
      <c r="N101" s="190" t="str">
        <f t="shared" si="29"/>
        <v/>
      </c>
      <c r="O101" s="403" t="str">
        <f>IFERROR(((O92+O93)/(O92+O93+O98+O99+O100))*100,"")</f>
        <v/>
      </c>
      <c r="P101" s="404" t="e">
        <f t="shared" ref="P101" si="30">((P92+P93)/(P92+P93+P98+P99+P100))*100</f>
        <v>#DIV/0!</v>
      </c>
    </row>
    <row r="102" spans="1:16" ht="15" customHeight="1" x14ac:dyDescent="0.2">
      <c r="A102" s="171" t="s">
        <v>323</v>
      </c>
      <c r="B102" s="186" t="s">
        <v>14</v>
      </c>
      <c r="C102" s="190" t="str">
        <f>IFERROR((C92/(C92+C93+C98+C99+C100))*100,"")</f>
        <v/>
      </c>
      <c r="D102" s="190" t="str">
        <f t="shared" ref="D102:N102" si="31">IFERROR((D92/(D92+D93+D98+D99+D100))*100,"")</f>
        <v/>
      </c>
      <c r="E102" s="190" t="str">
        <f t="shared" si="31"/>
        <v/>
      </c>
      <c r="F102" s="190" t="str">
        <f t="shared" si="31"/>
        <v/>
      </c>
      <c r="G102" s="190" t="str">
        <f t="shared" si="31"/>
        <v/>
      </c>
      <c r="H102" s="190" t="str">
        <f t="shared" si="31"/>
        <v/>
      </c>
      <c r="I102" s="190" t="str">
        <f t="shared" si="31"/>
        <v/>
      </c>
      <c r="J102" s="190" t="str">
        <f t="shared" si="31"/>
        <v/>
      </c>
      <c r="K102" s="190" t="str">
        <f t="shared" si="31"/>
        <v/>
      </c>
      <c r="L102" s="190" t="str">
        <f t="shared" si="31"/>
        <v/>
      </c>
      <c r="M102" s="190" t="str">
        <f t="shared" si="31"/>
        <v/>
      </c>
      <c r="N102" s="190" t="str">
        <f t="shared" si="31"/>
        <v/>
      </c>
      <c r="O102" s="403" t="str">
        <f>IFERROR((O92/(O92+O93+O98+O99+O100))*100,"")</f>
        <v/>
      </c>
      <c r="P102" s="404" t="e">
        <f t="shared" ref="P102" si="32">(P92)/(P92+P93+P98+P99+P100)*100</f>
        <v>#DIV/0!</v>
      </c>
    </row>
    <row r="103" spans="1:16" ht="15" customHeight="1" x14ac:dyDescent="0.2">
      <c r="A103" s="21" t="s">
        <v>324</v>
      </c>
      <c r="B103" s="26" t="s">
        <v>45</v>
      </c>
      <c r="C103" s="30"/>
      <c r="D103" s="30"/>
      <c r="E103" s="30"/>
      <c r="F103" s="30"/>
      <c r="G103" s="30"/>
      <c r="H103" s="30"/>
      <c r="I103" s="30"/>
      <c r="J103" s="30"/>
      <c r="K103" s="30"/>
      <c r="L103" s="30"/>
      <c r="M103" s="30"/>
      <c r="N103" s="30"/>
      <c r="O103" s="409">
        <f>IFERROR(IF(OR($C$5=$AB$2,$C$5=$AC$2,$C$5=$AD$2,$C$5=$AE$2,$C$5=$AF$2,$C$5=$AG$2,$C$5=$AH$2,$C$5=$AI$2,$C$5=$AJ$2),((C103*31)+(IF(OR($C$5=$AB$2,$C$5=$AC$2,$C$5=$AD$2,$C$5=$AE$2,$C$5=$AF$2,$C$5=$AG$2,$C$5=$AH$2,$C$5=$AI$2,$C$5=$AJ$2),D103*29,D103*28))+(E103*31)+(F103*30)+(G103*31)+(H103*30)+(I103*31)+(J103*31)+(K103*30)+(L103*31)+(M103*30)+(N103*31))/366,((C103*31)+(IF(OR($C$5=$AB$2,$C$5=$AC$2,$C$5=$AD$2,$C$5=$AE$2,$C$5=$AF$2,$C$5=$AG$2,$C$5=$AH$2,$C$5=$AI$2,$C$5=$AJ$2),D103*29,D103*28))+(E103*31)+(F103*30)+(G103*31)+(H103*30)+(I103*31)+(J103*31)+(K103*30)+(L103*31)+(M103*30)+(N103*31))/365),"")</f>
        <v>0</v>
      </c>
      <c r="P103" s="410"/>
    </row>
    <row r="104" spans="1:16" ht="15" customHeight="1" x14ac:dyDescent="0.2">
      <c r="A104" s="171" t="s">
        <v>325</v>
      </c>
      <c r="B104" s="186" t="s">
        <v>141</v>
      </c>
      <c r="C104" s="187" t="str">
        <f>IFERROR((C89/C103)/31,"")</f>
        <v/>
      </c>
      <c r="D104" s="187" t="str">
        <f>IFERROR(IF(OR($C$5=$AB$2,$C$5=$AC$2,$C$5=$AD$2,$C$5=$AE$2,$C$5=$AF$2,$C$5=$AG$2,$C$5=$AH$2,$C$5=$AI$2,$C$5=$AJ$2),(D89/D103)/29,(D89/D103)/28),"")</f>
        <v/>
      </c>
      <c r="E104" s="187" t="str">
        <f t="shared" ref="E104:N104" si="33">IFERROR((E89/E103)/31,"")</f>
        <v/>
      </c>
      <c r="F104" s="187" t="str">
        <f>IFERROR((F89/F103)/30,"")</f>
        <v/>
      </c>
      <c r="G104" s="187" t="str">
        <f t="shared" si="33"/>
        <v/>
      </c>
      <c r="H104" s="187" t="str">
        <f>IFERROR((H89/H103)/30,"")</f>
        <v/>
      </c>
      <c r="I104" s="187" t="str">
        <f t="shared" si="33"/>
        <v/>
      </c>
      <c r="J104" s="187" t="str">
        <f t="shared" si="33"/>
        <v/>
      </c>
      <c r="K104" s="187" t="str">
        <f>IFERROR((K89/K103)/30,"")</f>
        <v/>
      </c>
      <c r="L104" s="187" t="str">
        <f t="shared" si="33"/>
        <v/>
      </c>
      <c r="M104" s="187" t="str">
        <f>IFERROR((M89/M103)/30,"")</f>
        <v/>
      </c>
      <c r="N104" s="187" t="str">
        <f t="shared" si="33"/>
        <v/>
      </c>
      <c r="O104" s="372" t="str">
        <f>IFERROR(IF(OR($C$5=$AB$2,$C$5=$AC$2,$C$5=$AD$2,$C$5=$AE$2,$C$5=$AF$2,$C$5=$AG$2,$C$5=$AH$2,$C$5=$AI$2,$C$5=$AJ$2),((C104*31)+(IF(OR($C$5=$AB$2,$C$5=$AC$2,$C$5=$AD$2,$C$5=$AE$2,$C$5=$AF$2,$C$5=$AG$2,$C$5=$AH$2,$C$5=$AI$2,$C$5=$AJ$2),D104*29,D104*28))+(E104*31)+(F104*30)+(G104*31)+(H104*30)+(I104*31)+(J104*31)+(K104*30)+(L104*31)+(M104*30)+(N104*31))/366,((C104*31)+(IF(OR($C$5=$AB$2,$C$5=$AC$2,$C$5=$AD$2,$C$5=$AE$2,$C$5=$AF$2,$C$5=$AG$2,$C$5=$AH$2,$C$5=$AI$2,$C$5=$AJ$2),D104*29,D104*28))+(E104*31)+(F104*30)+(G104*31)+(H104*30)+(I104*31)+(J104*31)+(K104*30)+(L104*31)+(M104*30)+(N104*31))/365),"")</f>
        <v/>
      </c>
      <c r="P104" s="373"/>
    </row>
    <row r="105" spans="1:16" s="77" customFormat="1" ht="15" customHeight="1" x14ac:dyDescent="0.2">
      <c r="A105" s="171" t="s">
        <v>326</v>
      </c>
      <c r="B105" s="186" t="s">
        <v>244</v>
      </c>
      <c r="C105" s="187" t="str">
        <f>IFERROR((C92+C93)/C103,"")</f>
        <v/>
      </c>
      <c r="D105" s="187" t="str">
        <f>IFERROR((D92+D93)/D103,"")</f>
        <v/>
      </c>
      <c r="E105" s="187" t="str">
        <f t="shared" ref="E105:N105" si="34">IFERROR((E92+E93)/E103,"")</f>
        <v/>
      </c>
      <c r="F105" s="187" t="str">
        <f t="shared" si="34"/>
        <v/>
      </c>
      <c r="G105" s="187" t="str">
        <f t="shared" si="34"/>
        <v/>
      </c>
      <c r="H105" s="187" t="str">
        <f t="shared" si="34"/>
        <v/>
      </c>
      <c r="I105" s="187" t="str">
        <f t="shared" si="34"/>
        <v/>
      </c>
      <c r="J105" s="187" t="str">
        <f t="shared" si="34"/>
        <v/>
      </c>
      <c r="K105" s="187" t="str">
        <f t="shared" si="34"/>
        <v/>
      </c>
      <c r="L105" s="187" t="str">
        <f t="shared" si="34"/>
        <v/>
      </c>
      <c r="M105" s="187" t="str">
        <f t="shared" si="34"/>
        <v/>
      </c>
      <c r="N105" s="187" t="str">
        <f t="shared" si="34"/>
        <v/>
      </c>
      <c r="O105" s="372" t="str">
        <f>IFERROR((O92+O93)/O103,"")</f>
        <v/>
      </c>
      <c r="P105" s="373"/>
    </row>
    <row r="106" spans="1:16" ht="15" customHeight="1" x14ac:dyDescent="0.2">
      <c r="A106" s="171" t="s">
        <v>327</v>
      </c>
      <c r="B106" s="186" t="s">
        <v>49</v>
      </c>
      <c r="C106" s="187" t="str">
        <f>IFERROR((C71+C72+C73+C74)/C130,"")</f>
        <v/>
      </c>
      <c r="D106" s="187" t="str">
        <f t="shared" ref="D106:N106" si="35">IFERROR((D71+D72+D73+D74)/D130,"")</f>
        <v/>
      </c>
      <c r="E106" s="187" t="str">
        <f t="shared" si="35"/>
        <v/>
      </c>
      <c r="F106" s="187" t="str">
        <f t="shared" si="35"/>
        <v/>
      </c>
      <c r="G106" s="187" t="str">
        <f t="shared" si="35"/>
        <v/>
      </c>
      <c r="H106" s="187" t="str">
        <f t="shared" si="35"/>
        <v/>
      </c>
      <c r="I106" s="187" t="str">
        <f t="shared" si="35"/>
        <v/>
      </c>
      <c r="J106" s="187" t="str">
        <f t="shared" si="35"/>
        <v/>
      </c>
      <c r="K106" s="187" t="str">
        <f t="shared" si="35"/>
        <v/>
      </c>
      <c r="L106" s="187" t="str">
        <f t="shared" si="35"/>
        <v/>
      </c>
      <c r="M106" s="187" t="str">
        <f>IFERROR((M71+M72+M73+M74)/M130,"")</f>
        <v/>
      </c>
      <c r="N106" s="187" t="str">
        <f t="shared" si="35"/>
        <v/>
      </c>
      <c r="O106" s="349">
        <f>IFERROR(SUM(C106:N106),"")</f>
        <v>0</v>
      </c>
      <c r="P106" s="350"/>
    </row>
    <row r="107" spans="1:16" ht="15" customHeight="1" x14ac:dyDescent="0.2">
      <c r="A107" s="31" t="s">
        <v>328</v>
      </c>
      <c r="B107" s="32" t="s">
        <v>84</v>
      </c>
      <c r="C107" s="33"/>
      <c r="D107" s="33"/>
      <c r="E107" s="33"/>
      <c r="F107" s="33"/>
      <c r="G107" s="33"/>
      <c r="H107" s="33"/>
      <c r="I107" s="33"/>
      <c r="J107" s="33"/>
      <c r="K107" s="33"/>
      <c r="L107" s="33"/>
      <c r="M107" s="33"/>
      <c r="N107" s="33"/>
      <c r="O107" s="345" t="str">
        <f>IFERROR(AVERAGE(C107:N107),"")</f>
        <v/>
      </c>
      <c r="P107" s="346"/>
    </row>
    <row r="108" spans="1:16" ht="15" customHeight="1" x14ac:dyDescent="0.2">
      <c r="A108" s="31" t="s">
        <v>330</v>
      </c>
      <c r="B108" s="32" t="s">
        <v>329</v>
      </c>
      <c r="C108" s="102"/>
      <c r="D108" s="102"/>
      <c r="E108" s="102"/>
      <c r="F108" s="102"/>
      <c r="G108" s="102"/>
      <c r="H108" s="102"/>
      <c r="I108" s="102"/>
      <c r="J108" s="102"/>
      <c r="K108" s="102"/>
      <c r="L108" s="102"/>
      <c r="M108" s="102"/>
      <c r="N108" s="102"/>
      <c r="O108" s="345">
        <f>IFERROR(SUM(C108:N108),"")</f>
        <v>0</v>
      </c>
      <c r="P108" s="346"/>
    </row>
    <row r="109" spans="1:16" ht="15" customHeight="1" x14ac:dyDescent="0.2">
      <c r="A109" s="191" t="s">
        <v>331</v>
      </c>
      <c r="B109" s="192" t="s">
        <v>84</v>
      </c>
      <c r="C109" s="193">
        <f>IFERROR(C108/35,"")</f>
        <v>0</v>
      </c>
      <c r="D109" s="193">
        <f t="shared" ref="D109:K109" si="36">IFERROR(D108/35,"")</f>
        <v>0</v>
      </c>
      <c r="E109" s="193">
        <f t="shared" si="36"/>
        <v>0</v>
      </c>
      <c r="F109" s="193">
        <f t="shared" si="36"/>
        <v>0</v>
      </c>
      <c r="G109" s="193">
        <f t="shared" si="36"/>
        <v>0</v>
      </c>
      <c r="H109" s="193">
        <f t="shared" si="36"/>
        <v>0</v>
      </c>
      <c r="I109" s="193">
        <f t="shared" si="36"/>
        <v>0</v>
      </c>
      <c r="J109" s="193">
        <f t="shared" si="36"/>
        <v>0</v>
      </c>
      <c r="K109" s="193">
        <f t="shared" si="36"/>
        <v>0</v>
      </c>
      <c r="L109" s="193">
        <f t="shared" ref="L109" si="37">IFERROR(L108/35,"")</f>
        <v>0</v>
      </c>
      <c r="M109" s="193">
        <f t="shared" ref="M109" si="38">IFERROR(M108/35,"")</f>
        <v>0</v>
      </c>
      <c r="N109" s="193">
        <f t="shared" ref="N109" si="39">IFERROR(N108/35,"")</f>
        <v>0</v>
      </c>
      <c r="O109" s="345">
        <f>IFERROR(O108/35,"")</f>
        <v>0</v>
      </c>
      <c r="P109" s="346"/>
    </row>
    <row r="110" spans="1:16" ht="15" customHeight="1" x14ac:dyDescent="0.2">
      <c r="A110" s="31" t="s">
        <v>348</v>
      </c>
      <c r="B110" s="32" t="s">
        <v>329</v>
      </c>
      <c r="C110" s="102"/>
      <c r="D110" s="102"/>
      <c r="E110" s="102"/>
      <c r="F110" s="102"/>
      <c r="G110" s="102"/>
      <c r="H110" s="102"/>
      <c r="I110" s="102"/>
      <c r="J110" s="102"/>
      <c r="K110" s="102"/>
      <c r="L110" s="102"/>
      <c r="M110" s="102"/>
      <c r="N110" s="102"/>
      <c r="O110" s="345">
        <f>IFERROR(SUM(C110:N110),"")</f>
        <v>0</v>
      </c>
      <c r="P110" s="346"/>
    </row>
    <row r="111" spans="1:16" ht="15" customHeight="1" x14ac:dyDescent="0.2">
      <c r="A111" s="191" t="s">
        <v>349</v>
      </c>
      <c r="B111" s="192" t="s">
        <v>84</v>
      </c>
      <c r="C111" s="194">
        <f>IFERROR(C110/80,"")</f>
        <v>0</v>
      </c>
      <c r="D111" s="194">
        <f t="shared" ref="D111:N111" si="40">IFERROR(D110/80,"")</f>
        <v>0</v>
      </c>
      <c r="E111" s="194">
        <f t="shared" si="40"/>
        <v>0</v>
      </c>
      <c r="F111" s="194">
        <f t="shared" si="40"/>
        <v>0</v>
      </c>
      <c r="G111" s="194">
        <f t="shared" si="40"/>
        <v>0</v>
      </c>
      <c r="H111" s="194">
        <f t="shared" si="40"/>
        <v>0</v>
      </c>
      <c r="I111" s="194">
        <f t="shared" si="40"/>
        <v>0</v>
      </c>
      <c r="J111" s="194">
        <f t="shared" si="40"/>
        <v>0</v>
      </c>
      <c r="K111" s="194">
        <f t="shared" si="40"/>
        <v>0</v>
      </c>
      <c r="L111" s="194">
        <f t="shared" si="40"/>
        <v>0</v>
      </c>
      <c r="M111" s="194">
        <f t="shared" si="40"/>
        <v>0</v>
      </c>
      <c r="N111" s="194">
        <f t="shared" si="40"/>
        <v>0</v>
      </c>
      <c r="O111" s="345">
        <f>IFERROR(O110/80,"")</f>
        <v>0</v>
      </c>
      <c r="P111" s="346"/>
    </row>
    <row r="112" spans="1:16" ht="15" customHeight="1" x14ac:dyDescent="0.2">
      <c r="A112" s="191" t="s">
        <v>332</v>
      </c>
      <c r="B112" s="192" t="s">
        <v>84</v>
      </c>
      <c r="C112" s="292">
        <f>IFERROR(Terra!$C$4,"")</f>
        <v>0</v>
      </c>
      <c r="D112" s="292">
        <f>IFERROR(Terra!$C$4,"")</f>
        <v>0</v>
      </c>
      <c r="E112" s="292">
        <f>IFERROR(Terra!$C$4,"")</f>
        <v>0</v>
      </c>
      <c r="F112" s="292">
        <f>IFERROR(Terra!$C$4,"")</f>
        <v>0</v>
      </c>
      <c r="G112" s="292">
        <f>IFERROR(Terra!$C$4,"")</f>
        <v>0</v>
      </c>
      <c r="H112" s="292">
        <f>IFERROR(Terra!$C$4,"")</f>
        <v>0</v>
      </c>
      <c r="I112" s="292">
        <f>IFERROR(Terra!$C$4,"")</f>
        <v>0</v>
      </c>
      <c r="J112" s="292">
        <f>IFERROR(Terra!$C$4,"")</f>
        <v>0</v>
      </c>
      <c r="K112" s="292">
        <f>IFERROR(Terra!$C$4,"")</f>
        <v>0</v>
      </c>
      <c r="L112" s="292">
        <f>IFERROR(Terra!$C$4,"")</f>
        <v>0</v>
      </c>
      <c r="M112" s="292">
        <f>IFERROR(Terra!$C$4,"")</f>
        <v>0</v>
      </c>
      <c r="N112" s="292">
        <f>IFERROR(Terra!$C$4,"")</f>
        <v>0</v>
      </c>
      <c r="O112" s="345">
        <f>IFERROR(AVERAGE(C112:N112),"")</f>
        <v>0</v>
      </c>
      <c r="P112" s="346"/>
    </row>
    <row r="113" spans="1:36" ht="15" customHeight="1" x14ac:dyDescent="0.2">
      <c r="A113" s="191" t="s">
        <v>333</v>
      </c>
      <c r="B113" s="192" t="s">
        <v>84</v>
      </c>
      <c r="C113" s="292">
        <f>IFERROR(C107+C109+C111+C112,"")</f>
        <v>0</v>
      </c>
      <c r="D113" s="292">
        <f t="shared" ref="D113:N113" si="41">IFERROR(D107+D109+D111+D112,"")</f>
        <v>0</v>
      </c>
      <c r="E113" s="292">
        <f t="shared" si="41"/>
        <v>0</v>
      </c>
      <c r="F113" s="292">
        <f t="shared" si="41"/>
        <v>0</v>
      </c>
      <c r="G113" s="292">
        <f t="shared" si="41"/>
        <v>0</v>
      </c>
      <c r="H113" s="292">
        <f t="shared" si="41"/>
        <v>0</v>
      </c>
      <c r="I113" s="292">
        <f t="shared" si="41"/>
        <v>0</v>
      </c>
      <c r="J113" s="292">
        <f t="shared" si="41"/>
        <v>0</v>
      </c>
      <c r="K113" s="292">
        <f t="shared" si="41"/>
        <v>0</v>
      </c>
      <c r="L113" s="292">
        <f t="shared" si="41"/>
        <v>0</v>
      </c>
      <c r="M113" s="292">
        <f t="shared" si="41"/>
        <v>0</v>
      </c>
      <c r="N113" s="292">
        <f t="shared" si="41"/>
        <v>0</v>
      </c>
      <c r="O113" s="401">
        <f>IFERROR(AVERAGE(C113:N113),"")</f>
        <v>0</v>
      </c>
      <c r="P113" s="402"/>
    </row>
    <row r="114" spans="1:36" ht="15" customHeight="1" x14ac:dyDescent="0.2">
      <c r="A114" s="171" t="s">
        <v>334</v>
      </c>
      <c r="B114" s="186" t="s">
        <v>50</v>
      </c>
      <c r="C114" s="187" t="str">
        <f>IFERROR(C89/C113,"")</f>
        <v/>
      </c>
      <c r="D114" s="187" t="str">
        <f t="shared" ref="D114:N114" si="42">IFERROR(D89/D113,"")</f>
        <v/>
      </c>
      <c r="E114" s="187" t="str">
        <f t="shared" si="42"/>
        <v/>
      </c>
      <c r="F114" s="187" t="str">
        <f t="shared" si="42"/>
        <v/>
      </c>
      <c r="G114" s="187" t="str">
        <f t="shared" si="42"/>
        <v/>
      </c>
      <c r="H114" s="187" t="str">
        <f t="shared" si="42"/>
        <v/>
      </c>
      <c r="I114" s="187" t="str">
        <f t="shared" si="42"/>
        <v/>
      </c>
      <c r="J114" s="187" t="str">
        <f t="shared" si="42"/>
        <v/>
      </c>
      <c r="K114" s="187" t="str">
        <f t="shared" si="42"/>
        <v/>
      </c>
      <c r="L114" s="187" t="str">
        <f t="shared" si="42"/>
        <v/>
      </c>
      <c r="M114" s="187" t="str">
        <f t="shared" si="42"/>
        <v/>
      </c>
      <c r="N114" s="187" t="str">
        <f t="shared" si="42"/>
        <v/>
      </c>
      <c r="O114" s="372">
        <f>IFERROR(SUM(C114:N114),"")</f>
        <v>0</v>
      </c>
      <c r="P114" s="373"/>
    </row>
    <row r="115" spans="1:36" ht="15" customHeight="1" x14ac:dyDescent="0.2">
      <c r="A115" s="191" t="s">
        <v>335</v>
      </c>
      <c r="B115" s="192" t="s">
        <v>50</v>
      </c>
      <c r="C115" s="195" t="str">
        <f>IFERROR((C89+C106)/C113,"")</f>
        <v/>
      </c>
      <c r="D115" s="195" t="str">
        <f t="shared" ref="D115:N115" si="43">IFERROR((D89+D106)/D113,"")</f>
        <v/>
      </c>
      <c r="E115" s="195" t="str">
        <f t="shared" si="43"/>
        <v/>
      </c>
      <c r="F115" s="195" t="str">
        <f t="shared" si="43"/>
        <v/>
      </c>
      <c r="G115" s="195" t="str">
        <f t="shared" si="43"/>
        <v/>
      </c>
      <c r="H115" s="195" t="str">
        <f t="shared" si="43"/>
        <v/>
      </c>
      <c r="I115" s="195" t="str">
        <f t="shared" si="43"/>
        <v/>
      </c>
      <c r="J115" s="195" t="str">
        <f t="shared" si="43"/>
        <v/>
      </c>
      <c r="K115" s="195" t="str">
        <f t="shared" si="43"/>
        <v/>
      </c>
      <c r="L115" s="195" t="str">
        <f t="shared" si="43"/>
        <v/>
      </c>
      <c r="M115" s="195" t="str">
        <f t="shared" si="43"/>
        <v/>
      </c>
      <c r="N115" s="195" t="str">
        <f t="shared" si="43"/>
        <v/>
      </c>
      <c r="O115" s="372">
        <f>IFERROR(SUM(C115:N115),"")</f>
        <v>0</v>
      </c>
      <c r="P115" s="373"/>
    </row>
    <row r="116" spans="1:36" ht="15" customHeight="1" x14ac:dyDescent="0.2">
      <c r="A116" s="31" t="s">
        <v>336</v>
      </c>
      <c r="B116" s="32" t="s">
        <v>14</v>
      </c>
      <c r="C116" s="14"/>
      <c r="D116" s="14"/>
      <c r="E116" s="14"/>
      <c r="F116" s="14"/>
      <c r="G116" s="14"/>
      <c r="H116" s="14"/>
      <c r="I116" s="14"/>
      <c r="J116" s="14"/>
      <c r="K116" s="14"/>
      <c r="L116" s="14"/>
      <c r="M116" s="14"/>
      <c r="N116" s="14"/>
      <c r="O116" s="347" t="str">
        <f>IFERROR((GEOMEAN(C116:N116)),"")</f>
        <v/>
      </c>
      <c r="P116" s="348"/>
    </row>
    <row r="117" spans="1:36" ht="15" customHeight="1" x14ac:dyDescent="0.2">
      <c r="A117" s="31" t="s">
        <v>337</v>
      </c>
      <c r="B117" s="32" t="s">
        <v>14</v>
      </c>
      <c r="C117" s="14"/>
      <c r="D117" s="14"/>
      <c r="E117" s="14"/>
      <c r="F117" s="14"/>
      <c r="G117" s="14"/>
      <c r="H117" s="14"/>
      <c r="I117" s="14"/>
      <c r="J117" s="14"/>
      <c r="K117" s="14"/>
      <c r="L117" s="14"/>
      <c r="M117" s="14"/>
      <c r="N117" s="14"/>
      <c r="O117" s="347" t="str">
        <f>IFERROR((GEOMEAN(C117:N117)),"")</f>
        <v/>
      </c>
      <c r="P117" s="348"/>
    </row>
    <row r="118" spans="1:36" ht="15" customHeight="1" x14ac:dyDescent="0.2">
      <c r="A118" s="31" t="s">
        <v>338</v>
      </c>
      <c r="B118" s="32" t="s">
        <v>14</v>
      </c>
      <c r="C118" s="14"/>
      <c r="D118" s="14"/>
      <c r="E118" s="14"/>
      <c r="F118" s="14"/>
      <c r="G118" s="14"/>
      <c r="H118" s="14"/>
      <c r="I118" s="14"/>
      <c r="J118" s="14"/>
      <c r="K118" s="14"/>
      <c r="L118" s="14"/>
      <c r="M118" s="14"/>
      <c r="N118" s="14"/>
      <c r="O118" s="347" t="str">
        <f>IFERROR((GEOMEAN(C118:N118)),"")</f>
        <v/>
      </c>
      <c r="P118" s="348"/>
    </row>
    <row r="119" spans="1:36" ht="15" customHeight="1" x14ac:dyDescent="0.2">
      <c r="A119" s="31" t="s">
        <v>341</v>
      </c>
      <c r="B119" s="32" t="s">
        <v>218</v>
      </c>
      <c r="C119" s="73"/>
      <c r="D119" s="73"/>
      <c r="E119" s="73"/>
      <c r="F119" s="73"/>
      <c r="G119" s="73"/>
      <c r="H119" s="73"/>
      <c r="I119" s="73"/>
      <c r="J119" s="73"/>
      <c r="K119" s="73"/>
      <c r="L119" s="73"/>
      <c r="M119" s="73"/>
      <c r="N119" s="73"/>
      <c r="O119" s="347" t="str">
        <f>IFERROR((GEOMEAN(C119:N119)),"")</f>
        <v/>
      </c>
      <c r="P119" s="348"/>
    </row>
    <row r="120" spans="1:36" ht="15" customHeight="1" x14ac:dyDescent="0.2">
      <c r="A120" s="31" t="s">
        <v>339</v>
      </c>
      <c r="B120" s="103" t="s">
        <v>192</v>
      </c>
      <c r="C120" s="34"/>
      <c r="D120" s="34"/>
      <c r="E120" s="34"/>
      <c r="F120" s="34"/>
      <c r="G120" s="34"/>
      <c r="H120" s="34"/>
      <c r="I120" s="34"/>
      <c r="J120" s="34"/>
      <c r="K120" s="34"/>
      <c r="L120" s="34"/>
      <c r="M120" s="34"/>
      <c r="N120" s="34"/>
      <c r="O120" s="349" t="str">
        <f>IFERROR((GEOMEAN(C120:N120))*1000,"")</f>
        <v/>
      </c>
      <c r="P120" s="350"/>
      <c r="R120" s="2"/>
      <c r="S120" s="5"/>
      <c r="V120" s="2"/>
      <c r="W120" s="1"/>
      <c r="X120" s="4"/>
      <c r="Y120" s="6"/>
      <c r="AF120" s="8"/>
      <c r="AG120" s="8"/>
      <c r="AH120" s="2"/>
      <c r="AI120" s="5"/>
    </row>
    <row r="121" spans="1:36" ht="15" customHeight="1" x14ac:dyDescent="0.2">
      <c r="A121" s="35" t="s">
        <v>340</v>
      </c>
      <c r="B121" s="104" t="s">
        <v>193</v>
      </c>
      <c r="C121" s="36"/>
      <c r="D121" s="36"/>
      <c r="E121" s="36"/>
      <c r="F121" s="36"/>
      <c r="G121" s="36"/>
      <c r="H121" s="36"/>
      <c r="I121" s="36"/>
      <c r="J121" s="36"/>
      <c r="K121" s="36"/>
      <c r="L121" s="36"/>
      <c r="M121" s="36"/>
      <c r="N121" s="36"/>
      <c r="O121" s="399" t="str">
        <f>IFERROR((GEOMEAN(C121:N121))*1000,"")</f>
        <v/>
      </c>
      <c r="P121" s="400"/>
      <c r="R121" s="2"/>
      <c r="S121" s="5"/>
      <c r="V121" s="4"/>
      <c r="W121" s="4"/>
      <c r="X121" s="4"/>
      <c r="Z121" s="7"/>
      <c r="AF121" s="265"/>
      <c r="AG121" s="265"/>
      <c r="AH121" s="2"/>
      <c r="AI121" s="5"/>
    </row>
    <row r="122" spans="1:36" ht="15" customHeight="1" x14ac:dyDescent="0.2">
      <c r="A122" s="386" t="str">
        <f>A1</f>
        <v>Proprietário:</v>
      </c>
      <c r="B122" s="386"/>
      <c r="C122" s="386"/>
      <c r="D122" s="386"/>
      <c r="E122" s="386" t="str">
        <f>E1</f>
        <v>Propriedade:</v>
      </c>
      <c r="F122" s="386"/>
      <c r="G122" s="386"/>
      <c r="H122" s="386"/>
      <c r="I122" s="386"/>
      <c r="J122" s="386"/>
      <c r="K122" s="386"/>
      <c r="L122" s="386"/>
      <c r="M122" s="13"/>
      <c r="N122" s="13"/>
      <c r="O122" s="358"/>
      <c r="P122" s="358"/>
      <c r="Q122" s="4"/>
      <c r="S122" s="5"/>
      <c r="T122" s="4"/>
      <c r="U122" s="4"/>
      <c r="V122" s="4"/>
      <c r="AF122" s="265"/>
      <c r="AG122" s="265"/>
      <c r="AI122" s="5"/>
      <c r="AJ122" s="4"/>
    </row>
    <row r="123" spans="1:36" ht="15" customHeight="1" x14ac:dyDescent="0.2">
      <c r="A123" s="387" t="str">
        <f>A2</f>
        <v>Município:</v>
      </c>
      <c r="B123" s="387"/>
      <c r="C123" s="387"/>
      <c r="D123" s="387"/>
      <c r="E123" s="385" t="str">
        <f>E2</f>
        <v>Área da atividade leiteira:</v>
      </c>
      <c r="F123" s="385"/>
      <c r="G123" s="385"/>
      <c r="H123" s="385"/>
      <c r="I123" s="166">
        <f>O113</f>
        <v>0</v>
      </c>
      <c r="J123" s="13" t="s">
        <v>84</v>
      </c>
      <c r="K123" s="13"/>
      <c r="L123" s="13"/>
      <c r="M123" s="13"/>
      <c r="N123" s="13"/>
      <c r="O123" s="358"/>
      <c r="P123" s="358"/>
      <c r="AF123" s="4"/>
      <c r="AG123" s="4"/>
    </row>
    <row r="124" spans="1:36" ht="15" customHeight="1" x14ac:dyDescent="0.2">
      <c r="A124" s="339" t="str">
        <f>A3</f>
        <v>Técnico Responsável:</v>
      </c>
      <c r="B124" s="339"/>
      <c r="C124" s="339"/>
      <c r="D124" s="339"/>
      <c r="E124" s="339" t="str">
        <f>E3</f>
        <v xml:space="preserve">Entrada no Balde Cheio: </v>
      </c>
      <c r="F124" s="339"/>
      <c r="G124" s="340"/>
      <c r="H124" s="183">
        <f>H3</f>
        <v>0</v>
      </c>
      <c r="I124" s="183">
        <f>I3</f>
        <v>0</v>
      </c>
      <c r="J124" s="377" t="str">
        <f>L3</f>
        <v>versão BC 07</v>
      </c>
      <c r="K124" s="377"/>
      <c r="L124" s="377"/>
      <c r="M124" s="13"/>
      <c r="N124" s="13"/>
      <c r="O124" s="396"/>
      <c r="P124" s="396"/>
      <c r="AF124" s="4"/>
      <c r="AG124" s="4"/>
    </row>
    <row r="125" spans="1:36" ht="15" customHeight="1" x14ac:dyDescent="0.2">
      <c r="A125" s="184" t="s">
        <v>90</v>
      </c>
      <c r="B125" s="163" t="s">
        <v>10</v>
      </c>
      <c r="C125" s="165" t="s">
        <v>94</v>
      </c>
      <c r="D125" s="165" t="s">
        <v>68</v>
      </c>
      <c r="E125" s="165" t="s">
        <v>69</v>
      </c>
      <c r="F125" s="165" t="s">
        <v>70</v>
      </c>
      <c r="G125" s="165" t="s">
        <v>71</v>
      </c>
      <c r="H125" s="165" t="s">
        <v>72</v>
      </c>
      <c r="I125" s="165" t="s">
        <v>73</v>
      </c>
      <c r="J125" s="165" t="s">
        <v>74</v>
      </c>
      <c r="K125" s="165" t="s">
        <v>75</v>
      </c>
      <c r="L125" s="165" t="s">
        <v>76</v>
      </c>
      <c r="M125" s="165" t="s">
        <v>77</v>
      </c>
      <c r="N125" s="165" t="s">
        <v>78</v>
      </c>
      <c r="O125" s="359" t="s">
        <v>2</v>
      </c>
      <c r="P125" s="360"/>
    </row>
    <row r="126" spans="1:36" ht="15" customHeight="1" x14ac:dyDescent="0.2">
      <c r="A126" s="196" t="s">
        <v>91</v>
      </c>
      <c r="B126" s="169"/>
      <c r="C126" s="169">
        <f t="shared" ref="C126:N126" si="44">C5</f>
        <v>2018</v>
      </c>
      <c r="D126" s="169">
        <f t="shared" si="44"/>
        <v>2018</v>
      </c>
      <c r="E126" s="169">
        <f t="shared" si="44"/>
        <v>2018</v>
      </c>
      <c r="F126" s="169">
        <f t="shared" si="44"/>
        <v>2018</v>
      </c>
      <c r="G126" s="169">
        <f t="shared" si="44"/>
        <v>2018</v>
      </c>
      <c r="H126" s="169">
        <f t="shared" si="44"/>
        <v>2018</v>
      </c>
      <c r="I126" s="169">
        <f t="shared" si="44"/>
        <v>2018</v>
      </c>
      <c r="J126" s="169">
        <f t="shared" si="44"/>
        <v>2018</v>
      </c>
      <c r="K126" s="169">
        <f t="shared" si="44"/>
        <v>2018</v>
      </c>
      <c r="L126" s="169">
        <f t="shared" si="44"/>
        <v>2018</v>
      </c>
      <c r="M126" s="169">
        <f t="shared" si="44"/>
        <v>2018</v>
      </c>
      <c r="N126" s="169">
        <f t="shared" si="44"/>
        <v>2018</v>
      </c>
      <c r="O126" s="382"/>
      <c r="P126" s="383"/>
    </row>
    <row r="127" spans="1:36" ht="15" customHeight="1" x14ac:dyDescent="0.2">
      <c r="A127" s="173" t="s">
        <v>41</v>
      </c>
      <c r="B127" s="197" t="s">
        <v>51</v>
      </c>
      <c r="C127" s="175" t="str">
        <f>IFERROR((C62/C82),"")</f>
        <v/>
      </c>
      <c r="D127" s="175" t="str">
        <f>IFERROR((D62/D82),"")</f>
        <v/>
      </c>
      <c r="E127" s="175" t="str">
        <f t="shared" ref="E127:N127" si="45">IFERROR((E62/E82),"")</f>
        <v/>
      </c>
      <c r="F127" s="175" t="str">
        <f t="shared" si="45"/>
        <v/>
      </c>
      <c r="G127" s="175" t="str">
        <f t="shared" si="45"/>
        <v/>
      </c>
      <c r="H127" s="175" t="str">
        <f t="shared" si="45"/>
        <v/>
      </c>
      <c r="I127" s="175" t="str">
        <f t="shared" si="45"/>
        <v/>
      </c>
      <c r="J127" s="175" t="str">
        <f t="shared" si="45"/>
        <v/>
      </c>
      <c r="K127" s="175" t="str">
        <f t="shared" si="45"/>
        <v/>
      </c>
      <c r="L127" s="175" t="str">
        <f t="shared" si="45"/>
        <v/>
      </c>
      <c r="M127" s="175" t="str">
        <f t="shared" si="45"/>
        <v/>
      </c>
      <c r="N127" s="175" t="str">
        <f t="shared" si="45"/>
        <v/>
      </c>
      <c r="O127" s="397" t="str">
        <f>IFERROR((P62/O82),"")</f>
        <v/>
      </c>
      <c r="P127" s="398"/>
    </row>
    <row r="128" spans="1:36" ht="15" customHeight="1" x14ac:dyDescent="0.2">
      <c r="A128" s="171" t="s">
        <v>42</v>
      </c>
      <c r="B128" s="198" t="s">
        <v>51</v>
      </c>
      <c r="C128" s="189" t="str">
        <f>IFERROR((C63/C83),"")</f>
        <v/>
      </c>
      <c r="D128" s="189" t="str">
        <f t="shared" ref="D128:N128" si="46">IFERROR((D63/D83),"")</f>
        <v/>
      </c>
      <c r="E128" s="189" t="str">
        <f t="shared" si="46"/>
        <v/>
      </c>
      <c r="F128" s="189" t="str">
        <f t="shared" si="46"/>
        <v/>
      </c>
      <c r="G128" s="189" t="str">
        <f t="shared" si="46"/>
        <v/>
      </c>
      <c r="H128" s="189" t="str">
        <f t="shared" si="46"/>
        <v/>
      </c>
      <c r="I128" s="189" t="str">
        <f t="shared" si="46"/>
        <v/>
      </c>
      <c r="J128" s="189" t="str">
        <f t="shared" si="46"/>
        <v/>
      </c>
      <c r="K128" s="189" t="str">
        <f t="shared" si="46"/>
        <v/>
      </c>
      <c r="L128" s="189" t="str">
        <f t="shared" si="46"/>
        <v/>
      </c>
      <c r="M128" s="189" t="str">
        <f t="shared" si="46"/>
        <v/>
      </c>
      <c r="N128" s="189" t="str">
        <f t="shared" si="46"/>
        <v/>
      </c>
      <c r="O128" s="347" t="str">
        <f>IFERROR((P63/O83),"")</f>
        <v/>
      </c>
      <c r="P128" s="348"/>
    </row>
    <row r="129" spans="1:16" ht="15" customHeight="1" x14ac:dyDescent="0.2">
      <c r="A129" s="171" t="s">
        <v>210</v>
      </c>
      <c r="B129" s="198" t="s">
        <v>51</v>
      </c>
      <c r="C129" s="189" t="str">
        <f>IFERROR((C64/C84),"")</f>
        <v/>
      </c>
      <c r="D129" s="189" t="str">
        <f t="shared" ref="D129:N129" si="47">IFERROR((D64/D84),"")</f>
        <v/>
      </c>
      <c r="E129" s="189" t="str">
        <f t="shared" si="47"/>
        <v/>
      </c>
      <c r="F129" s="189" t="str">
        <f t="shared" si="47"/>
        <v/>
      </c>
      <c r="G129" s="189" t="str">
        <f t="shared" si="47"/>
        <v/>
      </c>
      <c r="H129" s="189" t="str">
        <f t="shared" si="47"/>
        <v/>
      </c>
      <c r="I129" s="189" t="str">
        <f t="shared" si="47"/>
        <v/>
      </c>
      <c r="J129" s="189" t="str">
        <f t="shared" si="47"/>
        <v/>
      </c>
      <c r="K129" s="189" t="str">
        <f t="shared" si="47"/>
        <v/>
      </c>
      <c r="L129" s="189" t="str">
        <f t="shared" si="47"/>
        <v/>
      </c>
      <c r="M129" s="189" t="str">
        <f t="shared" si="47"/>
        <v/>
      </c>
      <c r="N129" s="189" t="str">
        <f t="shared" si="47"/>
        <v/>
      </c>
      <c r="O129" s="365" t="str">
        <f>IFERROR((P64/O84),"")</f>
        <v/>
      </c>
      <c r="P129" s="366"/>
    </row>
    <row r="130" spans="1:16" ht="15" customHeight="1" x14ac:dyDescent="0.2">
      <c r="A130" s="171" t="s">
        <v>43</v>
      </c>
      <c r="B130" s="198" t="s">
        <v>51</v>
      </c>
      <c r="C130" s="189" t="str">
        <f>IFERROR((C65/C85),"")</f>
        <v/>
      </c>
      <c r="D130" s="189" t="str">
        <f>IFERROR((D65/D85),"")</f>
        <v/>
      </c>
      <c r="E130" s="189" t="str">
        <f t="shared" ref="E130:N130" si="48">IFERROR((E65/E85),"")</f>
        <v/>
      </c>
      <c r="F130" s="189" t="str">
        <f t="shared" si="48"/>
        <v/>
      </c>
      <c r="G130" s="189" t="str">
        <f t="shared" si="48"/>
        <v/>
      </c>
      <c r="H130" s="189" t="str">
        <f t="shared" si="48"/>
        <v/>
      </c>
      <c r="I130" s="189" t="str">
        <f t="shared" si="48"/>
        <v/>
      </c>
      <c r="J130" s="189" t="str">
        <f t="shared" si="48"/>
        <v/>
      </c>
      <c r="K130" s="189" t="str">
        <f t="shared" si="48"/>
        <v/>
      </c>
      <c r="L130" s="189" t="str">
        <f t="shared" si="48"/>
        <v/>
      </c>
      <c r="M130" s="189" t="str">
        <f t="shared" si="48"/>
        <v/>
      </c>
      <c r="N130" s="189" t="str">
        <f t="shared" si="48"/>
        <v/>
      </c>
      <c r="O130" s="343" t="str">
        <f>IFERROR((P65/O85),"")</f>
        <v/>
      </c>
      <c r="P130" s="344"/>
    </row>
    <row r="131" spans="1:16" ht="15" customHeight="1" x14ac:dyDescent="0.2">
      <c r="A131" s="300" t="s">
        <v>44</v>
      </c>
      <c r="B131" s="301" t="s">
        <v>1</v>
      </c>
      <c r="C131" s="302">
        <f t="shared" ref="C131:N131" si="49">IFERROR((C75-C58),"")</f>
        <v>0</v>
      </c>
      <c r="D131" s="302">
        <f t="shared" si="49"/>
        <v>0</v>
      </c>
      <c r="E131" s="302">
        <f t="shared" si="49"/>
        <v>0</v>
      </c>
      <c r="F131" s="302">
        <f t="shared" si="49"/>
        <v>0</v>
      </c>
      <c r="G131" s="302">
        <f t="shared" si="49"/>
        <v>0</v>
      </c>
      <c r="H131" s="302">
        <f t="shared" si="49"/>
        <v>0</v>
      </c>
      <c r="I131" s="302">
        <f t="shared" si="49"/>
        <v>0</v>
      </c>
      <c r="J131" s="302">
        <f t="shared" si="49"/>
        <v>0</v>
      </c>
      <c r="K131" s="302">
        <f t="shared" si="49"/>
        <v>0</v>
      </c>
      <c r="L131" s="302">
        <f t="shared" si="49"/>
        <v>0</v>
      </c>
      <c r="M131" s="302">
        <f t="shared" si="49"/>
        <v>0</v>
      </c>
      <c r="N131" s="302">
        <f t="shared" si="49"/>
        <v>0</v>
      </c>
      <c r="O131" s="341">
        <f>IFERROR((SUM(C131:N131)),"")</f>
        <v>0</v>
      </c>
      <c r="P131" s="342"/>
    </row>
    <row r="132" spans="1:16" ht="15" customHeight="1" x14ac:dyDescent="0.2">
      <c r="A132" s="171" t="s">
        <v>166</v>
      </c>
      <c r="B132" s="198" t="s">
        <v>52</v>
      </c>
      <c r="C132" s="189" t="str">
        <f>IFERROR((C131/C113),"")</f>
        <v/>
      </c>
      <c r="D132" s="189" t="str">
        <f t="shared" ref="D132:N132" si="50">IFERROR((D131/D113),"")</f>
        <v/>
      </c>
      <c r="E132" s="189" t="str">
        <f t="shared" si="50"/>
        <v/>
      </c>
      <c r="F132" s="189" t="str">
        <f t="shared" si="50"/>
        <v/>
      </c>
      <c r="G132" s="189" t="str">
        <f t="shared" si="50"/>
        <v/>
      </c>
      <c r="H132" s="189" t="str">
        <f t="shared" si="50"/>
        <v/>
      </c>
      <c r="I132" s="189" t="str">
        <f t="shared" si="50"/>
        <v/>
      </c>
      <c r="J132" s="189" t="str">
        <f t="shared" si="50"/>
        <v/>
      </c>
      <c r="K132" s="189" t="str">
        <f t="shared" si="50"/>
        <v/>
      </c>
      <c r="L132" s="189" t="str">
        <f t="shared" si="50"/>
        <v/>
      </c>
      <c r="M132" s="189" t="str">
        <f t="shared" si="50"/>
        <v/>
      </c>
      <c r="N132" s="189" t="str">
        <f t="shared" si="50"/>
        <v/>
      </c>
      <c r="O132" s="354">
        <f>IFERROR((SUM(C132:N132)),"")</f>
        <v>0</v>
      </c>
      <c r="P132" s="355"/>
    </row>
    <row r="133" spans="1:16" ht="15" customHeight="1" x14ac:dyDescent="0.2">
      <c r="A133" s="171" t="s">
        <v>167</v>
      </c>
      <c r="B133" s="198" t="s">
        <v>142</v>
      </c>
      <c r="C133" s="194" t="str">
        <f>IFERROR((C75/(C92+C93)/31),"")</f>
        <v/>
      </c>
      <c r="D133" s="194" t="str">
        <f>IFERROR(IF(OR($C$5=$AB$2,$C$5=$AC$2,$C$5=$AD$2,$C$5=$AE$2,$C$5=$AF$2,$C$5=$AG$2,$C$5=$AH$2,$C$5=$AI$2,$C$5=$AJ$2),(D75/(D92+D93)/29),(D75/(D92+D93)/28)),"")</f>
        <v/>
      </c>
      <c r="E133" s="194" t="str">
        <f t="shared" ref="E133:N133" si="51">IFERROR((E75/(E92+E93)/31),"")</f>
        <v/>
      </c>
      <c r="F133" s="194" t="str">
        <f>IFERROR((F75/(F92+F93)/30),"")</f>
        <v/>
      </c>
      <c r="G133" s="194" t="str">
        <f t="shared" si="51"/>
        <v/>
      </c>
      <c r="H133" s="194" t="str">
        <f>IFERROR((H75/(H92+H93)/30),"")</f>
        <v/>
      </c>
      <c r="I133" s="194" t="str">
        <f t="shared" si="51"/>
        <v/>
      </c>
      <c r="J133" s="194" t="str">
        <f t="shared" si="51"/>
        <v/>
      </c>
      <c r="K133" s="194" t="str">
        <f>IFERROR((K75/(K92+K93)/30),"")</f>
        <v/>
      </c>
      <c r="L133" s="194" t="str">
        <f t="shared" si="51"/>
        <v/>
      </c>
      <c r="M133" s="194" t="str">
        <f>IFERROR((M75/(M92+M93)/30),"")</f>
        <v/>
      </c>
      <c r="N133" s="194" t="str">
        <f t="shared" si="51"/>
        <v/>
      </c>
      <c r="O133" s="365" t="str">
        <f>IFERROR(IF(OR($C$5=$AB$2,$C$5=$AC$2,$C$5=$AD$2,$C$5=$AE$2,$C$5=$AF$2,$C$5=$AG$2,$C$5=$AH$2,$C$5=$AI$2,$C$5=$AJ$2),(P75/(O92+O93))/366,(P75/(O92+O93))/365),"")</f>
        <v/>
      </c>
      <c r="P133" s="366"/>
    </row>
    <row r="134" spans="1:16" ht="15" customHeight="1" x14ac:dyDescent="0.2">
      <c r="A134" s="171" t="s">
        <v>168</v>
      </c>
      <c r="B134" s="198" t="s">
        <v>143</v>
      </c>
      <c r="C134" s="199" t="s">
        <v>92</v>
      </c>
      <c r="D134" s="199" t="s">
        <v>92</v>
      </c>
      <c r="E134" s="199" t="s">
        <v>92</v>
      </c>
      <c r="F134" s="200" t="s">
        <v>92</v>
      </c>
      <c r="G134" s="199" t="s">
        <v>92</v>
      </c>
      <c r="H134" s="199" t="s">
        <v>92</v>
      </c>
      <c r="I134" s="199" t="s">
        <v>92</v>
      </c>
      <c r="J134" s="199" t="s">
        <v>92</v>
      </c>
      <c r="K134" s="199" t="s">
        <v>92</v>
      </c>
      <c r="L134" s="199" t="s">
        <v>92</v>
      </c>
      <c r="M134" s="199" t="s">
        <v>92</v>
      </c>
      <c r="N134" s="199" t="s">
        <v>92</v>
      </c>
      <c r="O134" s="354" t="str">
        <f>IFERROR(IF(OR($C$5=$AB$2,$C$5=$AC$2,$C$5=$AD$2,$C$5=$AE$2,$C$5=$AF$2,$C$5=$AG$2,$C$5=$AH$2,$C$5=$AI$2,$C$5=$AJ$2),O133*366,O133*365),"")</f>
        <v/>
      </c>
      <c r="P134" s="355"/>
    </row>
    <row r="135" spans="1:16" ht="15" customHeight="1" x14ac:dyDescent="0.2">
      <c r="A135" s="171" t="s">
        <v>302</v>
      </c>
      <c r="B135" s="198" t="s">
        <v>1</v>
      </c>
      <c r="C135" s="189">
        <f>Instalações!$G$21/12</f>
        <v>0</v>
      </c>
      <c r="D135" s="189">
        <f>Instalações!$G$21/12</f>
        <v>0</v>
      </c>
      <c r="E135" s="189">
        <f>Instalações!$G$21/12</f>
        <v>0</v>
      </c>
      <c r="F135" s="189">
        <f>Instalações!$G$21/12</f>
        <v>0</v>
      </c>
      <c r="G135" s="189">
        <f>Instalações!$G$21/12</f>
        <v>0</v>
      </c>
      <c r="H135" s="189">
        <f>Instalações!$G$21/12</f>
        <v>0</v>
      </c>
      <c r="I135" s="189">
        <f>Instalações!$G$21/12</f>
        <v>0</v>
      </c>
      <c r="J135" s="189">
        <f>Instalações!$G$21/12</f>
        <v>0</v>
      </c>
      <c r="K135" s="189">
        <f>Instalações!$G$21/12</f>
        <v>0</v>
      </c>
      <c r="L135" s="189">
        <f>Instalações!$G$21/12</f>
        <v>0</v>
      </c>
      <c r="M135" s="189">
        <f>Instalações!$G$21/12</f>
        <v>0</v>
      </c>
      <c r="N135" s="189">
        <f>Instalações!$G$21/12</f>
        <v>0</v>
      </c>
      <c r="O135" s="354">
        <f>IFERROR(SUM(C135:N135),"")</f>
        <v>0</v>
      </c>
      <c r="P135" s="355"/>
    </row>
    <row r="136" spans="1:16" ht="15" customHeight="1" x14ac:dyDescent="0.2">
      <c r="A136" s="171" t="s">
        <v>303</v>
      </c>
      <c r="B136" s="198" t="s">
        <v>1</v>
      </c>
      <c r="C136" s="189">
        <f>Máquinas!$F$22/12</f>
        <v>0</v>
      </c>
      <c r="D136" s="189">
        <f>Máquinas!$F$22/12</f>
        <v>0</v>
      </c>
      <c r="E136" s="189">
        <f>Máquinas!$F$22/12</f>
        <v>0</v>
      </c>
      <c r="F136" s="189">
        <f>Máquinas!$F$22/12</f>
        <v>0</v>
      </c>
      <c r="G136" s="189">
        <f>Máquinas!$F$22/12</f>
        <v>0</v>
      </c>
      <c r="H136" s="189">
        <f>Máquinas!$F$22/12</f>
        <v>0</v>
      </c>
      <c r="I136" s="189">
        <f>Máquinas!$F$22/12</f>
        <v>0</v>
      </c>
      <c r="J136" s="189">
        <f>Máquinas!$F$22/12</f>
        <v>0</v>
      </c>
      <c r="K136" s="189">
        <f>Máquinas!$F$22/12</f>
        <v>0</v>
      </c>
      <c r="L136" s="189">
        <f>Máquinas!$F$22/12</f>
        <v>0</v>
      </c>
      <c r="M136" s="189">
        <f>Máquinas!$F$22/12</f>
        <v>0</v>
      </c>
      <c r="N136" s="189">
        <f>Máquinas!$F$22/12</f>
        <v>0</v>
      </c>
      <c r="O136" s="354">
        <f t="shared" ref="O136:O138" si="52">IFERROR(SUM(C136:N136),"")</f>
        <v>0</v>
      </c>
      <c r="P136" s="355"/>
    </row>
    <row r="137" spans="1:16" ht="15" customHeight="1" x14ac:dyDescent="0.2">
      <c r="A137" s="171" t="s">
        <v>304</v>
      </c>
      <c r="B137" s="198" t="s">
        <v>1</v>
      </c>
      <c r="C137" s="189">
        <f>Animais!$F$10/12</f>
        <v>0</v>
      </c>
      <c r="D137" s="189">
        <f>Animais!$F$10/12</f>
        <v>0</v>
      </c>
      <c r="E137" s="189">
        <f>Animais!$F$10/12</f>
        <v>0</v>
      </c>
      <c r="F137" s="189">
        <f>Animais!$F$10/12</f>
        <v>0</v>
      </c>
      <c r="G137" s="189">
        <f>Animais!$F$10/12</f>
        <v>0</v>
      </c>
      <c r="H137" s="189">
        <f>Animais!$F$10/12</f>
        <v>0</v>
      </c>
      <c r="I137" s="189">
        <f>Animais!$F$10/12</f>
        <v>0</v>
      </c>
      <c r="J137" s="189">
        <f>Animais!$F$10/12</f>
        <v>0</v>
      </c>
      <c r="K137" s="189">
        <f>Animais!$F$10/12</f>
        <v>0</v>
      </c>
      <c r="L137" s="189">
        <f>Animais!$F$10/12</f>
        <v>0</v>
      </c>
      <c r="M137" s="189">
        <f>Animais!$F$10/12</f>
        <v>0</v>
      </c>
      <c r="N137" s="189">
        <f>Animais!$F$10/12</f>
        <v>0</v>
      </c>
      <c r="O137" s="354">
        <f t="shared" si="52"/>
        <v>0</v>
      </c>
      <c r="P137" s="355"/>
    </row>
    <row r="138" spans="1:16" ht="15" customHeight="1" x14ac:dyDescent="0.2">
      <c r="A138" s="171" t="s">
        <v>305</v>
      </c>
      <c r="B138" s="198" t="s">
        <v>1</v>
      </c>
      <c r="C138" s="189">
        <f>Terra!$F$4/12</f>
        <v>0</v>
      </c>
      <c r="D138" s="189">
        <f>Terra!$F$4/12</f>
        <v>0</v>
      </c>
      <c r="E138" s="189">
        <f>Terra!$F$4/12</f>
        <v>0</v>
      </c>
      <c r="F138" s="189">
        <f>Terra!$F$4/12</f>
        <v>0</v>
      </c>
      <c r="G138" s="189">
        <f>Terra!$F$4/12</f>
        <v>0</v>
      </c>
      <c r="H138" s="189">
        <f>Terra!$F$4/12</f>
        <v>0</v>
      </c>
      <c r="I138" s="189">
        <f>Terra!$F$4/12</f>
        <v>0</v>
      </c>
      <c r="J138" s="189">
        <f>Terra!$F$4/12</f>
        <v>0</v>
      </c>
      <c r="K138" s="189">
        <f>Terra!$F$4/12</f>
        <v>0</v>
      </c>
      <c r="L138" s="189">
        <f>Terra!$F$4/12</f>
        <v>0</v>
      </c>
      <c r="M138" s="189">
        <f>Terra!$F$4/12</f>
        <v>0</v>
      </c>
      <c r="N138" s="189">
        <f>Terra!$F$4/12</f>
        <v>0</v>
      </c>
      <c r="O138" s="354">
        <f t="shared" si="52"/>
        <v>0</v>
      </c>
      <c r="P138" s="355"/>
    </row>
    <row r="139" spans="1:16" ht="15" customHeight="1" x14ac:dyDescent="0.2">
      <c r="A139" s="171" t="s">
        <v>201</v>
      </c>
      <c r="B139" s="198" t="s">
        <v>1</v>
      </c>
      <c r="C139" s="201" t="s">
        <v>92</v>
      </c>
      <c r="D139" s="201" t="s">
        <v>92</v>
      </c>
      <c r="E139" s="201" t="s">
        <v>92</v>
      </c>
      <c r="F139" s="201" t="s">
        <v>92</v>
      </c>
      <c r="G139" s="201" t="s">
        <v>92</v>
      </c>
      <c r="H139" s="201" t="s">
        <v>92</v>
      </c>
      <c r="I139" s="201" t="s">
        <v>92</v>
      </c>
      <c r="J139" s="201" t="s">
        <v>92</v>
      </c>
      <c r="K139" s="201" t="s">
        <v>92</v>
      </c>
      <c r="L139" s="201" t="s">
        <v>92</v>
      </c>
      <c r="M139" s="201" t="s">
        <v>92</v>
      </c>
      <c r="N139" s="201" t="s">
        <v>92</v>
      </c>
      <c r="O139" s="341">
        <f>Animais!E10+Instalações!E21+Máquinas!D22+Terra!E4</f>
        <v>0</v>
      </c>
      <c r="P139" s="342"/>
    </row>
    <row r="140" spans="1:16" ht="15" customHeight="1" x14ac:dyDescent="0.2">
      <c r="A140" s="191" t="s">
        <v>202</v>
      </c>
      <c r="B140" s="202" t="s">
        <v>128</v>
      </c>
      <c r="C140" s="199" t="s">
        <v>92</v>
      </c>
      <c r="D140" s="199" t="s">
        <v>92</v>
      </c>
      <c r="E140" s="199" t="s">
        <v>92</v>
      </c>
      <c r="F140" s="200" t="s">
        <v>92</v>
      </c>
      <c r="G140" s="199" t="s">
        <v>92</v>
      </c>
      <c r="H140" s="199" t="s">
        <v>92</v>
      </c>
      <c r="I140" s="199" t="s">
        <v>92</v>
      </c>
      <c r="J140" s="199" t="s">
        <v>92</v>
      </c>
      <c r="K140" s="199" t="s">
        <v>92</v>
      </c>
      <c r="L140" s="199" t="s">
        <v>92</v>
      </c>
      <c r="M140" s="199" t="s">
        <v>92</v>
      </c>
      <c r="N140" s="199" t="s">
        <v>92</v>
      </c>
      <c r="O140" s="390" t="str">
        <f>IFERROR((O139/Patrimônio!B3)*100,"")</f>
        <v/>
      </c>
      <c r="P140" s="391"/>
    </row>
    <row r="141" spans="1:16" ht="15" customHeight="1" x14ac:dyDescent="0.2">
      <c r="A141" s="171" t="s">
        <v>203</v>
      </c>
      <c r="B141" s="198" t="s">
        <v>128</v>
      </c>
      <c r="C141" s="189" t="s">
        <v>92</v>
      </c>
      <c r="D141" s="189" t="s">
        <v>92</v>
      </c>
      <c r="E141" s="189" t="s">
        <v>92</v>
      </c>
      <c r="F141" s="189" t="s">
        <v>92</v>
      </c>
      <c r="G141" s="189" t="s">
        <v>92</v>
      </c>
      <c r="H141" s="189" t="s">
        <v>92</v>
      </c>
      <c r="I141" s="189" t="s">
        <v>92</v>
      </c>
      <c r="J141" s="189" t="s">
        <v>92</v>
      </c>
      <c r="K141" s="189" t="s">
        <v>92</v>
      </c>
      <c r="L141" s="189" t="s">
        <v>92</v>
      </c>
      <c r="M141" s="189" t="s">
        <v>92</v>
      </c>
      <c r="N141" s="189" t="s">
        <v>92</v>
      </c>
      <c r="O141" s="390" t="str">
        <f>IFERROR((O139/Patrimônio!B4)*100,"")</f>
        <v/>
      </c>
      <c r="P141" s="391"/>
    </row>
    <row r="142" spans="1:16" ht="15" customHeight="1" x14ac:dyDescent="0.2">
      <c r="A142" s="171" t="s">
        <v>204</v>
      </c>
      <c r="B142" s="198" t="s">
        <v>14</v>
      </c>
      <c r="C142" s="187" t="str">
        <f t="shared" ref="C142:N142" si="53">IFERROR((C42/C75)*100,"")</f>
        <v/>
      </c>
      <c r="D142" s="187" t="str">
        <f t="shared" si="53"/>
        <v/>
      </c>
      <c r="E142" s="187" t="str">
        <f t="shared" si="53"/>
        <v/>
      </c>
      <c r="F142" s="187" t="str">
        <f t="shared" si="53"/>
        <v/>
      </c>
      <c r="G142" s="187" t="str">
        <f t="shared" si="53"/>
        <v/>
      </c>
      <c r="H142" s="187" t="str">
        <f t="shared" si="53"/>
        <v/>
      </c>
      <c r="I142" s="187" t="str">
        <f t="shared" si="53"/>
        <v/>
      </c>
      <c r="J142" s="187" t="str">
        <f t="shared" si="53"/>
        <v/>
      </c>
      <c r="K142" s="187" t="str">
        <f t="shared" si="53"/>
        <v/>
      </c>
      <c r="L142" s="187" t="str">
        <f t="shared" si="53"/>
        <v/>
      </c>
      <c r="M142" s="187" t="str">
        <f t="shared" si="53"/>
        <v/>
      </c>
      <c r="N142" s="187" t="str">
        <f t="shared" si="53"/>
        <v/>
      </c>
      <c r="O142" s="392" t="str">
        <f>IFERROR((P42/P75)*100,"")</f>
        <v/>
      </c>
      <c r="P142" s="393"/>
    </row>
    <row r="143" spans="1:16" ht="15" customHeight="1" x14ac:dyDescent="0.2">
      <c r="A143" s="171" t="s">
        <v>205</v>
      </c>
      <c r="B143" s="198" t="s">
        <v>14</v>
      </c>
      <c r="C143" s="263" t="str">
        <f t="shared" ref="C143:N143" si="54">IFERROR((C58/C75)*100,"")</f>
        <v/>
      </c>
      <c r="D143" s="263" t="str">
        <f t="shared" si="54"/>
        <v/>
      </c>
      <c r="E143" s="263" t="str">
        <f t="shared" si="54"/>
        <v/>
      </c>
      <c r="F143" s="263" t="str">
        <f t="shared" si="54"/>
        <v/>
      </c>
      <c r="G143" s="263" t="str">
        <f t="shared" si="54"/>
        <v/>
      </c>
      <c r="H143" s="263" t="str">
        <f t="shared" si="54"/>
        <v/>
      </c>
      <c r="I143" s="263" t="str">
        <f t="shared" si="54"/>
        <v/>
      </c>
      <c r="J143" s="263" t="str">
        <f t="shared" si="54"/>
        <v/>
      </c>
      <c r="K143" s="263" t="str">
        <f t="shared" si="54"/>
        <v/>
      </c>
      <c r="L143" s="263" t="str">
        <f t="shared" si="54"/>
        <v/>
      </c>
      <c r="M143" s="263" t="str">
        <f t="shared" si="54"/>
        <v/>
      </c>
      <c r="N143" s="263" t="str">
        <f t="shared" si="54"/>
        <v/>
      </c>
      <c r="O143" s="392" t="str">
        <f>IFERROR((P58/P75)*100,"")</f>
        <v/>
      </c>
      <c r="P143" s="393"/>
    </row>
    <row r="144" spans="1:16" ht="15" customHeight="1" x14ac:dyDescent="0.2">
      <c r="A144" s="171" t="s">
        <v>268</v>
      </c>
      <c r="B144" s="198" t="s">
        <v>269</v>
      </c>
      <c r="C144" s="263" t="s">
        <v>92</v>
      </c>
      <c r="D144" s="263" t="s">
        <v>92</v>
      </c>
      <c r="E144" s="263" t="s">
        <v>92</v>
      </c>
      <c r="F144" s="263" t="s">
        <v>92</v>
      </c>
      <c r="G144" s="263" t="s">
        <v>92</v>
      </c>
      <c r="H144" s="263" t="s">
        <v>92</v>
      </c>
      <c r="I144" s="263" t="s">
        <v>92</v>
      </c>
      <c r="J144" s="263" t="s">
        <v>92</v>
      </c>
      <c r="K144" s="263" t="s">
        <v>92</v>
      </c>
      <c r="L144" s="263" t="s">
        <v>92</v>
      </c>
      <c r="M144" s="263" t="s">
        <v>92</v>
      </c>
      <c r="N144" s="263" t="s">
        <v>92</v>
      </c>
      <c r="O144" s="354" t="str">
        <f>IFERROR((O139/O90),"")</f>
        <v/>
      </c>
      <c r="P144" s="355"/>
    </row>
    <row r="145" spans="1:18" ht="15" customHeight="1" x14ac:dyDescent="0.2">
      <c r="A145" s="203" t="s">
        <v>206</v>
      </c>
      <c r="B145" s="204" t="s">
        <v>129</v>
      </c>
      <c r="C145" s="205" t="s">
        <v>92</v>
      </c>
      <c r="D145" s="206" t="s">
        <v>92</v>
      </c>
      <c r="E145" s="205" t="s">
        <v>92</v>
      </c>
      <c r="F145" s="206" t="s">
        <v>92</v>
      </c>
      <c r="G145" s="205" t="s">
        <v>92</v>
      </c>
      <c r="H145" s="206" t="s">
        <v>92</v>
      </c>
      <c r="I145" s="205" t="s">
        <v>92</v>
      </c>
      <c r="J145" s="206" t="s">
        <v>92</v>
      </c>
      <c r="K145" s="205" t="s">
        <v>92</v>
      </c>
      <c r="L145" s="206" t="s">
        <v>92</v>
      </c>
      <c r="M145" s="206" t="s">
        <v>92</v>
      </c>
      <c r="N145" s="205" t="s">
        <v>92</v>
      </c>
      <c r="O145" s="407" t="str">
        <f>IFERROR((O139/(O92+O93)),"")</f>
        <v/>
      </c>
      <c r="P145" s="408"/>
    </row>
    <row r="146" spans="1:18" ht="15" customHeight="1" x14ac:dyDescent="0.2">
      <c r="A146" s="386" t="str">
        <f>A1</f>
        <v>Proprietário:</v>
      </c>
      <c r="B146" s="386"/>
      <c r="C146" s="386"/>
      <c r="D146" s="386"/>
      <c r="E146" s="386" t="str">
        <f>E1</f>
        <v>Propriedade:</v>
      </c>
      <c r="F146" s="386"/>
      <c r="G146" s="386"/>
      <c r="H146" s="386"/>
      <c r="I146" s="386"/>
      <c r="J146" s="386"/>
      <c r="K146" s="386"/>
      <c r="L146" s="386"/>
      <c r="M146" s="13"/>
      <c r="N146" s="13"/>
      <c r="O146" s="358"/>
      <c r="P146" s="358"/>
    </row>
    <row r="147" spans="1:18" ht="15" customHeight="1" x14ac:dyDescent="0.2">
      <c r="A147" s="387" t="str">
        <f>A2</f>
        <v>Município:</v>
      </c>
      <c r="B147" s="387"/>
      <c r="C147" s="387"/>
      <c r="D147" s="387"/>
      <c r="E147" s="387" t="str">
        <f>E2</f>
        <v>Área da atividade leiteira:</v>
      </c>
      <c r="F147" s="387"/>
      <c r="G147" s="387"/>
      <c r="H147" s="387"/>
      <c r="I147" s="166">
        <f>O113</f>
        <v>0</v>
      </c>
      <c r="J147" s="39" t="str">
        <f>J2</f>
        <v>ha</v>
      </c>
      <c r="K147" s="41"/>
      <c r="L147" s="41"/>
      <c r="M147" s="13"/>
      <c r="N147" s="13"/>
      <c r="O147" s="358"/>
      <c r="P147" s="358"/>
    </row>
    <row r="148" spans="1:18" ht="15" customHeight="1" x14ac:dyDescent="0.2">
      <c r="A148" s="389" t="str">
        <f>A3</f>
        <v>Técnico Responsável:</v>
      </c>
      <c r="B148" s="389"/>
      <c r="C148" s="389"/>
      <c r="D148" s="389"/>
      <c r="E148" s="415" t="str">
        <f>E3</f>
        <v xml:space="preserve">Entrada no Balde Cheio: </v>
      </c>
      <c r="F148" s="415"/>
      <c r="G148" s="416"/>
      <c r="H148" s="183">
        <f>H3</f>
        <v>0</v>
      </c>
      <c r="I148" s="183">
        <f>I3</f>
        <v>0</v>
      </c>
      <c r="J148" s="371" t="str">
        <f>L3</f>
        <v>versão BC 07</v>
      </c>
      <c r="K148" s="371"/>
      <c r="L148" s="371"/>
      <c r="M148" s="13"/>
      <c r="N148" s="13"/>
      <c r="O148" s="396"/>
      <c r="P148" s="396"/>
    </row>
    <row r="149" spans="1:18" ht="15" customHeight="1" x14ac:dyDescent="0.2">
      <c r="A149" s="207" t="s">
        <v>79</v>
      </c>
      <c r="B149" s="163" t="s">
        <v>10</v>
      </c>
      <c r="C149" s="165" t="s">
        <v>94</v>
      </c>
      <c r="D149" s="165" t="s">
        <v>68</v>
      </c>
      <c r="E149" s="165" t="s">
        <v>69</v>
      </c>
      <c r="F149" s="165" t="s">
        <v>70</v>
      </c>
      <c r="G149" s="165" t="s">
        <v>71</v>
      </c>
      <c r="H149" s="165" t="s">
        <v>72</v>
      </c>
      <c r="I149" s="165" t="s">
        <v>73</v>
      </c>
      <c r="J149" s="165" t="s">
        <v>74</v>
      </c>
      <c r="K149" s="165" t="s">
        <v>75</v>
      </c>
      <c r="L149" s="165" t="s">
        <v>76</v>
      </c>
      <c r="M149" s="165" t="s">
        <v>77</v>
      </c>
      <c r="N149" s="165" t="s">
        <v>78</v>
      </c>
      <c r="O149" s="359" t="s">
        <v>2</v>
      </c>
      <c r="P149" s="360"/>
    </row>
    <row r="150" spans="1:18" ht="15" customHeight="1" x14ac:dyDescent="0.2">
      <c r="A150" s="208" t="s">
        <v>80</v>
      </c>
      <c r="B150" s="169"/>
      <c r="C150" s="169">
        <f xml:space="preserve"> C5</f>
        <v>2018</v>
      </c>
      <c r="D150" s="169">
        <f t="shared" ref="D150:N150" si="55">D5</f>
        <v>2018</v>
      </c>
      <c r="E150" s="169">
        <f t="shared" si="55"/>
        <v>2018</v>
      </c>
      <c r="F150" s="169">
        <f t="shared" si="55"/>
        <v>2018</v>
      </c>
      <c r="G150" s="169">
        <f t="shared" si="55"/>
        <v>2018</v>
      </c>
      <c r="H150" s="169">
        <f t="shared" si="55"/>
        <v>2018</v>
      </c>
      <c r="I150" s="169">
        <f t="shared" si="55"/>
        <v>2018</v>
      </c>
      <c r="J150" s="169">
        <f t="shared" si="55"/>
        <v>2018</v>
      </c>
      <c r="K150" s="169">
        <f t="shared" si="55"/>
        <v>2018</v>
      </c>
      <c r="L150" s="169">
        <f t="shared" si="55"/>
        <v>2018</v>
      </c>
      <c r="M150" s="169">
        <f t="shared" si="55"/>
        <v>2018</v>
      </c>
      <c r="N150" s="169">
        <f t="shared" si="55"/>
        <v>2018</v>
      </c>
      <c r="O150" s="382"/>
      <c r="P150" s="383"/>
    </row>
    <row r="151" spans="1:18" ht="15" customHeight="1" x14ac:dyDescent="0.2">
      <c r="A151" s="209" t="s">
        <v>158</v>
      </c>
      <c r="B151" s="198" t="s">
        <v>51</v>
      </c>
      <c r="C151" s="189" t="str">
        <f t="shared" ref="C151:N151" si="56">IFERROR(C42/C89,"")</f>
        <v/>
      </c>
      <c r="D151" s="189" t="str">
        <f t="shared" si="56"/>
        <v/>
      </c>
      <c r="E151" s="189" t="str">
        <f t="shared" si="56"/>
        <v/>
      </c>
      <c r="F151" s="189" t="str">
        <f t="shared" si="56"/>
        <v/>
      </c>
      <c r="G151" s="189" t="str">
        <f t="shared" si="56"/>
        <v/>
      </c>
      <c r="H151" s="189" t="str">
        <f t="shared" si="56"/>
        <v/>
      </c>
      <c r="I151" s="189" t="str">
        <f t="shared" si="56"/>
        <v/>
      </c>
      <c r="J151" s="189" t="str">
        <f t="shared" si="56"/>
        <v/>
      </c>
      <c r="K151" s="189" t="str">
        <f t="shared" si="56"/>
        <v/>
      </c>
      <c r="L151" s="189" t="str">
        <f t="shared" si="56"/>
        <v/>
      </c>
      <c r="M151" s="189" t="str">
        <f t="shared" si="56"/>
        <v/>
      </c>
      <c r="N151" s="189" t="str">
        <f t="shared" si="56"/>
        <v/>
      </c>
      <c r="O151" s="394" t="str">
        <f>IFERROR(P42/O89,"")</f>
        <v/>
      </c>
      <c r="P151" s="395"/>
    </row>
    <row r="152" spans="1:18" s="77" customFormat="1" ht="15" customHeight="1" x14ac:dyDescent="0.2">
      <c r="A152" s="209" t="s">
        <v>222</v>
      </c>
      <c r="B152" s="198" t="s">
        <v>51</v>
      </c>
      <c r="C152" s="189" t="str">
        <f t="shared" ref="C152:N152" si="57">IFERROR(C42/C85,"")</f>
        <v/>
      </c>
      <c r="D152" s="189" t="str">
        <f t="shared" si="57"/>
        <v/>
      </c>
      <c r="E152" s="189" t="str">
        <f t="shared" si="57"/>
        <v/>
      </c>
      <c r="F152" s="189" t="str">
        <f t="shared" si="57"/>
        <v/>
      </c>
      <c r="G152" s="189" t="str">
        <f t="shared" si="57"/>
        <v/>
      </c>
      <c r="H152" s="189" t="str">
        <f t="shared" si="57"/>
        <v/>
      </c>
      <c r="I152" s="189" t="str">
        <f t="shared" si="57"/>
        <v/>
      </c>
      <c r="J152" s="189" t="str">
        <f t="shared" si="57"/>
        <v/>
      </c>
      <c r="K152" s="189" t="str">
        <f t="shared" si="57"/>
        <v/>
      </c>
      <c r="L152" s="189" t="str">
        <f t="shared" si="57"/>
        <v/>
      </c>
      <c r="M152" s="189" t="str">
        <f t="shared" si="57"/>
        <v/>
      </c>
      <c r="N152" s="189" t="str">
        <f t="shared" si="57"/>
        <v/>
      </c>
      <c r="O152" s="369" t="str">
        <f>IFERROR(P42/O85,"")</f>
        <v/>
      </c>
      <c r="P152" s="370"/>
    </row>
    <row r="153" spans="1:18" ht="15" customHeight="1" x14ac:dyDescent="0.2">
      <c r="A153" s="171" t="s">
        <v>223</v>
      </c>
      <c r="B153" s="198" t="s">
        <v>51</v>
      </c>
      <c r="C153" s="189" t="str">
        <f t="shared" ref="C153:N153" si="58">IFERROR(C42/(C89+C106),"")</f>
        <v/>
      </c>
      <c r="D153" s="189" t="str">
        <f t="shared" si="58"/>
        <v/>
      </c>
      <c r="E153" s="189" t="str">
        <f t="shared" si="58"/>
        <v/>
      </c>
      <c r="F153" s="189" t="str">
        <f t="shared" si="58"/>
        <v/>
      </c>
      <c r="G153" s="189" t="str">
        <f t="shared" si="58"/>
        <v/>
      </c>
      <c r="H153" s="189" t="str">
        <f t="shared" si="58"/>
        <v/>
      </c>
      <c r="I153" s="189" t="str">
        <f t="shared" si="58"/>
        <v/>
      </c>
      <c r="J153" s="189" t="str">
        <f t="shared" si="58"/>
        <v/>
      </c>
      <c r="K153" s="189" t="str">
        <f t="shared" si="58"/>
        <v/>
      </c>
      <c r="L153" s="189" t="str">
        <f t="shared" si="58"/>
        <v/>
      </c>
      <c r="M153" s="189" t="str">
        <f t="shared" si="58"/>
        <v/>
      </c>
      <c r="N153" s="189" t="str">
        <f t="shared" si="58"/>
        <v/>
      </c>
      <c r="O153" s="343" t="str">
        <f>IFERROR(P42/(O89+O106),"")</f>
        <v/>
      </c>
      <c r="P153" s="344"/>
    </row>
    <row r="154" spans="1:18" s="77" customFormat="1" ht="15" customHeight="1" x14ac:dyDescent="0.2">
      <c r="A154" s="171" t="s">
        <v>224</v>
      </c>
      <c r="B154" s="198" t="s">
        <v>51</v>
      </c>
      <c r="C154" s="189" t="str">
        <f t="shared" ref="C154:N154" si="59">IFERROR(C42/(C85+C106),"")</f>
        <v/>
      </c>
      <c r="D154" s="189" t="str">
        <f t="shared" si="59"/>
        <v/>
      </c>
      <c r="E154" s="189" t="str">
        <f t="shared" si="59"/>
        <v/>
      </c>
      <c r="F154" s="189" t="str">
        <f t="shared" si="59"/>
        <v/>
      </c>
      <c r="G154" s="189" t="str">
        <f t="shared" si="59"/>
        <v/>
      </c>
      <c r="H154" s="189" t="str">
        <f t="shared" si="59"/>
        <v/>
      </c>
      <c r="I154" s="189" t="str">
        <f t="shared" si="59"/>
        <v/>
      </c>
      <c r="J154" s="189" t="str">
        <f t="shared" si="59"/>
        <v/>
      </c>
      <c r="K154" s="189" t="str">
        <f t="shared" si="59"/>
        <v/>
      </c>
      <c r="L154" s="189" t="str">
        <f t="shared" si="59"/>
        <v/>
      </c>
      <c r="M154" s="189" t="str">
        <f t="shared" si="59"/>
        <v/>
      </c>
      <c r="N154" s="189" t="str">
        <f t="shared" si="59"/>
        <v/>
      </c>
      <c r="O154" s="343" t="str">
        <f>IFERROR(P42/(O85+O106),"")</f>
        <v/>
      </c>
      <c r="P154" s="344"/>
    </row>
    <row r="155" spans="1:18" ht="15" customHeight="1" x14ac:dyDescent="0.2">
      <c r="A155" s="171" t="s">
        <v>225</v>
      </c>
      <c r="B155" s="198" t="s">
        <v>129</v>
      </c>
      <c r="C155" s="189" t="str">
        <f t="shared" ref="C155:N155" si="60">IFERROR(C42/(C92+C93),"")</f>
        <v/>
      </c>
      <c r="D155" s="189" t="str">
        <f t="shared" si="60"/>
        <v/>
      </c>
      <c r="E155" s="189" t="str">
        <f t="shared" si="60"/>
        <v/>
      </c>
      <c r="F155" s="189" t="str">
        <f t="shared" si="60"/>
        <v/>
      </c>
      <c r="G155" s="189" t="str">
        <f t="shared" si="60"/>
        <v/>
      </c>
      <c r="H155" s="189" t="str">
        <f t="shared" si="60"/>
        <v/>
      </c>
      <c r="I155" s="189" t="str">
        <f t="shared" si="60"/>
        <v/>
      </c>
      <c r="J155" s="189" t="str">
        <f t="shared" si="60"/>
        <v/>
      </c>
      <c r="K155" s="189" t="str">
        <f t="shared" si="60"/>
        <v/>
      </c>
      <c r="L155" s="189" t="str">
        <f t="shared" si="60"/>
        <v/>
      </c>
      <c r="M155" s="189" t="str">
        <f t="shared" si="60"/>
        <v/>
      </c>
      <c r="N155" s="189" t="str">
        <f t="shared" si="60"/>
        <v/>
      </c>
      <c r="O155" s="354">
        <f>IFERROR(SUM(C155:N155),"")</f>
        <v>0</v>
      </c>
      <c r="P155" s="355"/>
    </row>
    <row r="156" spans="1:18" ht="15" customHeight="1" x14ac:dyDescent="0.2">
      <c r="A156" s="171" t="s">
        <v>271</v>
      </c>
      <c r="B156" s="198" t="s">
        <v>130</v>
      </c>
      <c r="C156" s="187" t="str">
        <f>IFERROR(C155/C130,"")</f>
        <v/>
      </c>
      <c r="D156" s="187" t="str">
        <f t="shared" ref="D156:N156" si="61">IFERROR(D155/D130,"")</f>
        <v/>
      </c>
      <c r="E156" s="187" t="str">
        <f t="shared" si="61"/>
        <v/>
      </c>
      <c r="F156" s="187" t="str">
        <f t="shared" si="61"/>
        <v/>
      </c>
      <c r="G156" s="187" t="str">
        <f t="shared" si="61"/>
        <v/>
      </c>
      <c r="H156" s="187" t="str">
        <f t="shared" si="61"/>
        <v/>
      </c>
      <c r="I156" s="187" t="str">
        <f t="shared" si="61"/>
        <v/>
      </c>
      <c r="J156" s="187" t="str">
        <f t="shared" si="61"/>
        <v/>
      </c>
      <c r="K156" s="187" t="str">
        <f t="shared" si="61"/>
        <v/>
      </c>
      <c r="L156" s="187" t="str">
        <f t="shared" si="61"/>
        <v/>
      </c>
      <c r="M156" s="187" t="str">
        <f t="shared" si="61"/>
        <v/>
      </c>
      <c r="N156" s="187" t="str">
        <f t="shared" si="61"/>
        <v/>
      </c>
      <c r="O156" s="352">
        <f>IFERROR(SUM(C156:N156),"")</f>
        <v>0</v>
      </c>
      <c r="P156" s="353"/>
    </row>
    <row r="157" spans="1:18" ht="15" customHeight="1" x14ac:dyDescent="0.2">
      <c r="A157" s="171" t="s">
        <v>226</v>
      </c>
      <c r="B157" s="198" t="s">
        <v>51</v>
      </c>
      <c r="C157" s="189" t="str">
        <f t="shared" ref="C157:N157" si="62">IFERROR(C58/C89,"")</f>
        <v/>
      </c>
      <c r="D157" s="189" t="str">
        <f t="shared" si="62"/>
        <v/>
      </c>
      <c r="E157" s="189" t="str">
        <f t="shared" si="62"/>
        <v/>
      </c>
      <c r="F157" s="189" t="str">
        <f t="shared" si="62"/>
        <v/>
      </c>
      <c r="G157" s="189" t="str">
        <f t="shared" si="62"/>
        <v/>
      </c>
      <c r="H157" s="189" t="str">
        <f t="shared" si="62"/>
        <v/>
      </c>
      <c r="I157" s="189" t="str">
        <f t="shared" si="62"/>
        <v/>
      </c>
      <c r="J157" s="189" t="str">
        <f t="shared" si="62"/>
        <v/>
      </c>
      <c r="K157" s="189" t="str">
        <f t="shared" si="62"/>
        <v/>
      </c>
      <c r="L157" s="189" t="str">
        <f t="shared" si="62"/>
        <v/>
      </c>
      <c r="M157" s="189" t="str">
        <f t="shared" si="62"/>
        <v/>
      </c>
      <c r="N157" s="189" t="str">
        <f t="shared" si="62"/>
        <v/>
      </c>
      <c r="O157" s="341" t="str">
        <f>IFERROR(P58/O89,"")</f>
        <v/>
      </c>
      <c r="P157" s="342"/>
    </row>
    <row r="158" spans="1:18" ht="15" customHeight="1" x14ac:dyDescent="0.2">
      <c r="A158" s="171" t="s">
        <v>227</v>
      </c>
      <c r="B158" s="198" t="s">
        <v>51</v>
      </c>
      <c r="C158" s="189" t="str">
        <f t="shared" ref="C158:N158" si="63">IFERROR(C58/(C89+C106),"")</f>
        <v/>
      </c>
      <c r="D158" s="189" t="str">
        <f t="shared" si="63"/>
        <v/>
      </c>
      <c r="E158" s="189" t="str">
        <f t="shared" si="63"/>
        <v/>
      </c>
      <c r="F158" s="189" t="str">
        <f t="shared" si="63"/>
        <v/>
      </c>
      <c r="G158" s="189" t="str">
        <f t="shared" si="63"/>
        <v/>
      </c>
      <c r="H158" s="189" t="str">
        <f t="shared" si="63"/>
        <v/>
      </c>
      <c r="I158" s="189" t="str">
        <f t="shared" si="63"/>
        <v/>
      </c>
      <c r="J158" s="189" t="str">
        <f t="shared" si="63"/>
        <v/>
      </c>
      <c r="K158" s="189" t="str">
        <f t="shared" si="63"/>
        <v/>
      </c>
      <c r="L158" s="189" t="str">
        <f t="shared" si="63"/>
        <v/>
      </c>
      <c r="M158" s="189" t="str">
        <f t="shared" si="63"/>
        <v/>
      </c>
      <c r="N158" s="189" t="str">
        <f t="shared" si="63"/>
        <v/>
      </c>
      <c r="O158" s="341" t="str">
        <f>IFERROR(P58/(O89+O106),"")</f>
        <v/>
      </c>
      <c r="P158" s="342"/>
    </row>
    <row r="159" spans="1:18" ht="15" customHeight="1" x14ac:dyDescent="0.2">
      <c r="A159" s="171" t="s">
        <v>228</v>
      </c>
      <c r="B159" s="198" t="s">
        <v>129</v>
      </c>
      <c r="C159" s="189" t="str">
        <f t="shared" ref="C159:N159" si="64">IFERROR(C58/(C92+C93),"")</f>
        <v/>
      </c>
      <c r="D159" s="189" t="str">
        <f t="shared" si="64"/>
        <v/>
      </c>
      <c r="E159" s="189" t="str">
        <f t="shared" si="64"/>
        <v/>
      </c>
      <c r="F159" s="189" t="str">
        <f t="shared" si="64"/>
        <v/>
      </c>
      <c r="G159" s="189" t="str">
        <f t="shared" si="64"/>
        <v/>
      </c>
      <c r="H159" s="189" t="str">
        <f t="shared" si="64"/>
        <v/>
      </c>
      <c r="I159" s="189" t="str">
        <f t="shared" si="64"/>
        <v/>
      </c>
      <c r="J159" s="189" t="str">
        <f t="shared" si="64"/>
        <v/>
      </c>
      <c r="K159" s="189" t="str">
        <f t="shared" si="64"/>
        <v/>
      </c>
      <c r="L159" s="189" t="str">
        <f t="shared" si="64"/>
        <v/>
      </c>
      <c r="M159" s="189" t="str">
        <f t="shared" si="64"/>
        <v/>
      </c>
      <c r="N159" s="189" t="str">
        <f t="shared" si="64"/>
        <v/>
      </c>
      <c r="O159" s="354">
        <f>IFERROR(SUM(C159:N159),"")</f>
        <v>0</v>
      </c>
      <c r="P159" s="355"/>
    </row>
    <row r="160" spans="1:18" ht="15" customHeight="1" x14ac:dyDescent="0.2">
      <c r="A160" s="171" t="s">
        <v>270</v>
      </c>
      <c r="B160" s="198" t="s">
        <v>130</v>
      </c>
      <c r="C160" s="187" t="str">
        <f>IFERROR(C159/C130,"")</f>
        <v/>
      </c>
      <c r="D160" s="187" t="str">
        <f t="shared" ref="D160:N160" si="65">IFERROR(D159/D130,"")</f>
        <v/>
      </c>
      <c r="E160" s="187" t="str">
        <f t="shared" si="65"/>
        <v/>
      </c>
      <c r="F160" s="187" t="str">
        <f t="shared" si="65"/>
        <v/>
      </c>
      <c r="G160" s="187" t="str">
        <f t="shared" si="65"/>
        <v/>
      </c>
      <c r="H160" s="187" t="str">
        <f t="shared" si="65"/>
        <v/>
      </c>
      <c r="I160" s="187" t="str">
        <f t="shared" si="65"/>
        <v/>
      </c>
      <c r="J160" s="187" t="str">
        <f t="shared" si="65"/>
        <v/>
      </c>
      <c r="K160" s="187" t="str">
        <f t="shared" si="65"/>
        <v/>
      </c>
      <c r="L160" s="187" t="str">
        <f t="shared" si="65"/>
        <v/>
      </c>
      <c r="M160" s="187" t="str">
        <f t="shared" si="65"/>
        <v/>
      </c>
      <c r="N160" s="187" t="str">
        <f t="shared" si="65"/>
        <v/>
      </c>
      <c r="O160" s="352">
        <f>IFERROR(SUM(C160:N160),"")</f>
        <v>0</v>
      </c>
      <c r="P160" s="353"/>
      <c r="Q160" s="262"/>
      <c r="R160" s="74"/>
    </row>
    <row r="161" spans="1:18" ht="15" customHeight="1" x14ac:dyDescent="0.2">
      <c r="A161" s="171" t="s">
        <v>229</v>
      </c>
      <c r="B161" s="198" t="s">
        <v>51</v>
      </c>
      <c r="C161" s="189" t="str">
        <f t="shared" ref="C161:N161" si="66">IFERROR((C42+C135+C136+C137+C138)/C89,"")</f>
        <v/>
      </c>
      <c r="D161" s="189" t="str">
        <f t="shared" si="66"/>
        <v/>
      </c>
      <c r="E161" s="189" t="str">
        <f t="shared" si="66"/>
        <v/>
      </c>
      <c r="F161" s="189" t="str">
        <f t="shared" si="66"/>
        <v/>
      </c>
      <c r="G161" s="189" t="str">
        <f t="shared" si="66"/>
        <v/>
      </c>
      <c r="H161" s="189" t="str">
        <f t="shared" si="66"/>
        <v/>
      </c>
      <c r="I161" s="189" t="str">
        <f t="shared" si="66"/>
        <v/>
      </c>
      <c r="J161" s="189" t="str">
        <f t="shared" si="66"/>
        <v/>
      </c>
      <c r="K161" s="189" t="str">
        <f t="shared" si="66"/>
        <v/>
      </c>
      <c r="L161" s="189" t="str">
        <f t="shared" si="66"/>
        <v/>
      </c>
      <c r="M161" s="189" t="str">
        <f t="shared" si="66"/>
        <v/>
      </c>
      <c r="N161" s="189" t="str">
        <f t="shared" si="66"/>
        <v/>
      </c>
      <c r="O161" s="343" t="str">
        <f>IFERROR((P42+O135+O136+O137+O138)/O89,"")</f>
        <v/>
      </c>
      <c r="P161" s="344"/>
    </row>
    <row r="162" spans="1:18" ht="15" customHeight="1" x14ac:dyDescent="0.2">
      <c r="A162" s="171" t="s">
        <v>230</v>
      </c>
      <c r="B162" s="198" t="s">
        <v>51</v>
      </c>
      <c r="C162" s="189" t="str">
        <f t="shared" ref="C162:N162" si="67">IFERROR((C42+C135+C136+C137+C138)/(C89+C106),"")</f>
        <v/>
      </c>
      <c r="D162" s="189" t="str">
        <f t="shared" si="67"/>
        <v/>
      </c>
      <c r="E162" s="189" t="str">
        <f t="shared" si="67"/>
        <v/>
      </c>
      <c r="F162" s="189" t="str">
        <f t="shared" si="67"/>
        <v/>
      </c>
      <c r="G162" s="189" t="str">
        <f t="shared" si="67"/>
        <v/>
      </c>
      <c r="H162" s="189" t="str">
        <f t="shared" si="67"/>
        <v/>
      </c>
      <c r="I162" s="189" t="str">
        <f t="shared" si="67"/>
        <v/>
      </c>
      <c r="J162" s="189" t="str">
        <f t="shared" si="67"/>
        <v/>
      </c>
      <c r="K162" s="189" t="str">
        <f t="shared" si="67"/>
        <v/>
      </c>
      <c r="L162" s="189" t="str">
        <f t="shared" si="67"/>
        <v/>
      </c>
      <c r="M162" s="189" t="str">
        <f t="shared" si="67"/>
        <v/>
      </c>
      <c r="N162" s="189" t="str">
        <f t="shared" si="67"/>
        <v/>
      </c>
      <c r="O162" s="343" t="str">
        <f>IFERROR((P42+O135+O136+O137+O138)/(O89+O106),"")</f>
        <v/>
      </c>
      <c r="P162" s="344"/>
    </row>
    <row r="163" spans="1:18" ht="15" customHeight="1" x14ac:dyDescent="0.2">
      <c r="A163" s="300" t="s">
        <v>231</v>
      </c>
      <c r="B163" s="301" t="s">
        <v>1</v>
      </c>
      <c r="C163" s="302">
        <f t="shared" ref="C163:N163" si="68">IFERROR(C75-C42,"")</f>
        <v>0</v>
      </c>
      <c r="D163" s="302">
        <f t="shared" si="68"/>
        <v>0</v>
      </c>
      <c r="E163" s="302">
        <f t="shared" si="68"/>
        <v>0</v>
      </c>
      <c r="F163" s="302">
        <f t="shared" si="68"/>
        <v>0</v>
      </c>
      <c r="G163" s="302">
        <f t="shared" si="68"/>
        <v>0</v>
      </c>
      <c r="H163" s="302">
        <f t="shared" si="68"/>
        <v>0</v>
      </c>
      <c r="I163" s="302">
        <f t="shared" si="68"/>
        <v>0</v>
      </c>
      <c r="J163" s="302">
        <f t="shared" si="68"/>
        <v>0</v>
      </c>
      <c r="K163" s="302">
        <f t="shared" si="68"/>
        <v>0</v>
      </c>
      <c r="L163" s="302">
        <f t="shared" si="68"/>
        <v>0</v>
      </c>
      <c r="M163" s="302">
        <f t="shared" si="68"/>
        <v>0</v>
      </c>
      <c r="N163" s="302">
        <f t="shared" si="68"/>
        <v>0</v>
      </c>
      <c r="O163" s="354">
        <f>IFERROR(SUM(C163:N163),"")</f>
        <v>0</v>
      </c>
      <c r="P163" s="355"/>
    </row>
    <row r="164" spans="1:18" ht="15" customHeight="1" x14ac:dyDescent="0.2">
      <c r="A164" s="171" t="s">
        <v>232</v>
      </c>
      <c r="B164" s="198" t="s">
        <v>52</v>
      </c>
      <c r="C164" s="189" t="str">
        <f t="shared" ref="C164:N164" si="69">IFERROR((C75-C42)/C113,"")</f>
        <v/>
      </c>
      <c r="D164" s="189" t="str">
        <f t="shared" si="69"/>
        <v/>
      </c>
      <c r="E164" s="189" t="str">
        <f t="shared" si="69"/>
        <v/>
      </c>
      <c r="F164" s="189" t="str">
        <f t="shared" si="69"/>
        <v/>
      </c>
      <c r="G164" s="189" t="str">
        <f t="shared" si="69"/>
        <v/>
      </c>
      <c r="H164" s="189" t="str">
        <f t="shared" si="69"/>
        <v/>
      </c>
      <c r="I164" s="189" t="str">
        <f t="shared" si="69"/>
        <v/>
      </c>
      <c r="J164" s="189" t="str">
        <f t="shared" si="69"/>
        <v/>
      </c>
      <c r="K164" s="189" t="str">
        <f t="shared" si="69"/>
        <v/>
      </c>
      <c r="L164" s="189" t="str">
        <f t="shared" si="69"/>
        <v/>
      </c>
      <c r="M164" s="189" t="str">
        <f t="shared" si="69"/>
        <v/>
      </c>
      <c r="N164" s="189" t="str">
        <f t="shared" si="69"/>
        <v/>
      </c>
      <c r="O164" s="354">
        <f>IFERROR(SUM(C164:N164),"")</f>
        <v>0</v>
      </c>
      <c r="P164" s="355"/>
      <c r="R164" s="264"/>
    </row>
    <row r="165" spans="1:18" s="77" customFormat="1" ht="15" customHeight="1" x14ac:dyDescent="0.2">
      <c r="A165" s="171" t="s">
        <v>233</v>
      </c>
      <c r="B165" s="198" t="s">
        <v>129</v>
      </c>
      <c r="C165" s="189" t="str">
        <f>IFERROR(C163/(C92+C93),"")</f>
        <v/>
      </c>
      <c r="D165" s="189" t="str">
        <f t="shared" ref="D165:N165" si="70">IFERROR(D163/(D92+D93),"")</f>
        <v/>
      </c>
      <c r="E165" s="189" t="str">
        <f t="shared" si="70"/>
        <v/>
      </c>
      <c r="F165" s="189" t="str">
        <f t="shared" si="70"/>
        <v/>
      </c>
      <c r="G165" s="189" t="str">
        <f t="shared" si="70"/>
        <v/>
      </c>
      <c r="H165" s="189" t="str">
        <f t="shared" si="70"/>
        <v/>
      </c>
      <c r="I165" s="189" t="str">
        <f t="shared" si="70"/>
        <v/>
      </c>
      <c r="J165" s="189" t="str">
        <f t="shared" si="70"/>
        <v/>
      </c>
      <c r="K165" s="189" t="str">
        <f t="shared" si="70"/>
        <v/>
      </c>
      <c r="L165" s="189" t="str">
        <f t="shared" si="70"/>
        <v/>
      </c>
      <c r="M165" s="189" t="str">
        <f t="shared" si="70"/>
        <v/>
      </c>
      <c r="N165" s="189" t="str">
        <f t="shared" si="70"/>
        <v/>
      </c>
      <c r="O165" s="354" t="str">
        <f>IFERROR(O163/(O92+O93),"")</f>
        <v/>
      </c>
      <c r="P165" s="355"/>
    </row>
    <row r="166" spans="1:18" ht="15" customHeight="1" x14ac:dyDescent="0.2">
      <c r="A166" s="171" t="s">
        <v>234</v>
      </c>
      <c r="B166" s="198" t="s">
        <v>1</v>
      </c>
      <c r="C166" s="189">
        <f t="shared" ref="C166:N166" si="71">IFERROR(C75-C42-C135-C136-C137-C138,"")</f>
        <v>0</v>
      </c>
      <c r="D166" s="189">
        <f t="shared" si="71"/>
        <v>0</v>
      </c>
      <c r="E166" s="189">
        <f t="shared" si="71"/>
        <v>0</v>
      </c>
      <c r="F166" s="189">
        <f t="shared" si="71"/>
        <v>0</v>
      </c>
      <c r="G166" s="189">
        <f t="shared" si="71"/>
        <v>0</v>
      </c>
      <c r="H166" s="189">
        <f t="shared" si="71"/>
        <v>0</v>
      </c>
      <c r="I166" s="189">
        <f t="shared" si="71"/>
        <v>0</v>
      </c>
      <c r="J166" s="189">
        <f t="shared" si="71"/>
        <v>0</v>
      </c>
      <c r="K166" s="189">
        <f t="shared" si="71"/>
        <v>0</v>
      </c>
      <c r="L166" s="189">
        <f t="shared" si="71"/>
        <v>0</v>
      </c>
      <c r="M166" s="189">
        <f t="shared" si="71"/>
        <v>0</v>
      </c>
      <c r="N166" s="189">
        <f t="shared" si="71"/>
        <v>0</v>
      </c>
      <c r="O166" s="354">
        <f>IFERROR(SUM(C166:N166),"")</f>
        <v>0</v>
      </c>
      <c r="P166" s="355"/>
    </row>
    <row r="167" spans="1:18" ht="15" customHeight="1" x14ac:dyDescent="0.2">
      <c r="A167" s="171" t="s">
        <v>235</v>
      </c>
      <c r="B167" s="198" t="s">
        <v>52</v>
      </c>
      <c r="C167" s="189" t="str">
        <f>IFERROR(C166/C113,"")</f>
        <v/>
      </c>
      <c r="D167" s="189" t="str">
        <f t="shared" ref="D167:N167" si="72">IFERROR(D166/D113,"")</f>
        <v/>
      </c>
      <c r="E167" s="189" t="str">
        <f t="shared" si="72"/>
        <v/>
      </c>
      <c r="F167" s="189" t="str">
        <f t="shared" si="72"/>
        <v/>
      </c>
      <c r="G167" s="189" t="str">
        <f t="shared" si="72"/>
        <v/>
      </c>
      <c r="H167" s="189" t="str">
        <f t="shared" si="72"/>
        <v/>
      </c>
      <c r="I167" s="189" t="str">
        <f t="shared" si="72"/>
        <v/>
      </c>
      <c r="J167" s="189" t="str">
        <f t="shared" si="72"/>
        <v/>
      </c>
      <c r="K167" s="189" t="str">
        <f t="shared" si="72"/>
        <v/>
      </c>
      <c r="L167" s="189" t="str">
        <f t="shared" si="72"/>
        <v/>
      </c>
      <c r="M167" s="189" t="str">
        <f t="shared" si="72"/>
        <v/>
      </c>
      <c r="N167" s="189" t="str">
        <f t="shared" si="72"/>
        <v/>
      </c>
      <c r="O167" s="354">
        <f>IFERROR(SUM(C167:N167),"")</f>
        <v>0</v>
      </c>
      <c r="P167" s="355"/>
    </row>
    <row r="168" spans="1:18" ht="15" customHeight="1" x14ac:dyDescent="0.2">
      <c r="A168" s="171" t="s">
        <v>236</v>
      </c>
      <c r="B168" s="198" t="s">
        <v>51</v>
      </c>
      <c r="C168" s="189" t="str">
        <f t="shared" ref="C168:N168" si="73">IFERROR((C75-C42-C135-C136-C137-C138)/C89,"")</f>
        <v/>
      </c>
      <c r="D168" s="189" t="str">
        <f t="shared" si="73"/>
        <v/>
      </c>
      <c r="E168" s="189" t="str">
        <f t="shared" si="73"/>
        <v/>
      </c>
      <c r="F168" s="189" t="str">
        <f t="shared" si="73"/>
        <v/>
      </c>
      <c r="G168" s="189" t="str">
        <f t="shared" si="73"/>
        <v/>
      </c>
      <c r="H168" s="189" t="str">
        <f t="shared" si="73"/>
        <v/>
      </c>
      <c r="I168" s="189" t="str">
        <f t="shared" si="73"/>
        <v/>
      </c>
      <c r="J168" s="189" t="str">
        <f t="shared" si="73"/>
        <v/>
      </c>
      <c r="K168" s="189" t="str">
        <f t="shared" si="73"/>
        <v/>
      </c>
      <c r="L168" s="189" t="str">
        <f t="shared" si="73"/>
        <v/>
      </c>
      <c r="M168" s="189" t="str">
        <f t="shared" si="73"/>
        <v/>
      </c>
      <c r="N168" s="189" t="str">
        <f t="shared" si="73"/>
        <v/>
      </c>
      <c r="O168" s="354" t="str">
        <f>IFERROR((P75-P42-O135-O136-O137-O138)/O89,"")</f>
        <v/>
      </c>
      <c r="P168" s="355"/>
    </row>
    <row r="169" spans="1:18" ht="15" customHeight="1" x14ac:dyDescent="0.2">
      <c r="A169" s="171" t="s">
        <v>237</v>
      </c>
      <c r="B169" s="202" t="s">
        <v>142</v>
      </c>
      <c r="C169" s="189" t="str">
        <f>IFERROR(((C75-C42-C135-C136-C137-C138)/(C92+C93))/31,"")</f>
        <v/>
      </c>
      <c r="D169" s="189" t="str">
        <f>IFERROR(IF(OR($C$5=$AB$2,$C$5=$AC$2,$C$5=$AD$2,$C$5=$AE$2,$C$5=$AF$2,$C$5=$AG$2,$C$5=$AH$2,$C$5=$AI$2,$C$5=$AJ$2),((D75-D42-D135-D136-D137-D138)/(D92+D93))/29,((D75-D42-D135-D136-D137-D138)/(D92+D93))/28),"")</f>
        <v/>
      </c>
      <c r="E169" s="189" t="str">
        <f>IFERROR(((E75-E42-E135-E136-E137-E138)/(E92+E93))/31,"")</f>
        <v/>
      </c>
      <c r="F169" s="189" t="str">
        <f>IFERROR(((F75-F42-F135-F136-F137-F138)/(F92+F93))/30,"")</f>
        <v/>
      </c>
      <c r="G169" s="189" t="str">
        <f>IFERROR(((G75-G42-G135-G136-G137-G138)/(G92+G93))/31,"")</f>
        <v/>
      </c>
      <c r="H169" s="189" t="str">
        <f>IFERROR(((H75-H42-H135-H136-H137-H138)/(H92+H93))/30,"")</f>
        <v/>
      </c>
      <c r="I169" s="189" t="str">
        <f>IFERROR(((I75-I42-I135-I136-I137-I138)/(I92+I93))/31,"")</f>
        <v/>
      </c>
      <c r="J169" s="189" t="str">
        <f>IFERROR(((J75-J42-J135-J136-J137-J138)/(J92+J93))/31,"")</f>
        <v/>
      </c>
      <c r="K169" s="189" t="str">
        <f>IFERROR(((K75-K42-K135-K136-K137-K138)/(K92+K93))/30,"")</f>
        <v/>
      </c>
      <c r="L169" s="189" t="str">
        <f>IFERROR(((L75-L42-L135-L136-L137-L138)/(L92+L93))/31,"")</f>
        <v/>
      </c>
      <c r="M169" s="189" t="str">
        <f>IFERROR(((M75-M42-M135-M136-M137-M138)/(M92+M93))/30,"")</f>
        <v/>
      </c>
      <c r="N169" s="189" t="str">
        <f>IFERROR(((N75-N42-N135-N136-N137-N138)/(N92+N93))/31,"")</f>
        <v/>
      </c>
      <c r="O169" s="354" t="str">
        <f>IFERROR(IF(OR($C$5=$AB$2,$C$5=$AC$2,$C$5=$AD$2,$C$5=$AE$2,$C$5=$AF$2,$C$5=$AG$2,$C$5=$AH$2,$C$5=$AI$2,$C$5=$AJ$2),((P75-P42-O135-O136-O137-O138)/(O92+O93))/366,((P75-P42-O135-O136-O137-O138)/(O92+O93))/365),"")</f>
        <v/>
      </c>
      <c r="P169" s="355"/>
    </row>
    <row r="170" spans="1:18" ht="15" customHeight="1" x14ac:dyDescent="0.2">
      <c r="A170" s="210" t="s">
        <v>238</v>
      </c>
      <c r="B170" s="186" t="s">
        <v>144</v>
      </c>
      <c r="C170" s="211" t="str">
        <f>IFERROR(C169/C130,"")</f>
        <v/>
      </c>
      <c r="D170" s="211" t="str">
        <f t="shared" ref="D170:N170" si="74">IFERROR(D169/D130,"")</f>
        <v/>
      </c>
      <c r="E170" s="211" t="str">
        <f t="shared" si="74"/>
        <v/>
      </c>
      <c r="F170" s="211" t="str">
        <f t="shared" si="74"/>
        <v/>
      </c>
      <c r="G170" s="211" t="str">
        <f t="shared" si="74"/>
        <v/>
      </c>
      <c r="H170" s="211" t="str">
        <f t="shared" si="74"/>
        <v/>
      </c>
      <c r="I170" s="211" t="str">
        <f t="shared" si="74"/>
        <v/>
      </c>
      <c r="J170" s="211" t="str">
        <f t="shared" si="74"/>
        <v/>
      </c>
      <c r="K170" s="211" t="str">
        <f t="shared" si="74"/>
        <v/>
      </c>
      <c r="L170" s="211" t="str">
        <f t="shared" si="74"/>
        <v/>
      </c>
      <c r="M170" s="211" t="str">
        <f t="shared" si="74"/>
        <v/>
      </c>
      <c r="N170" s="211" t="str">
        <f t="shared" si="74"/>
        <v/>
      </c>
      <c r="O170" s="345" t="str">
        <f>IFERROR(O169/O130,"")</f>
        <v/>
      </c>
      <c r="P170" s="346"/>
    </row>
    <row r="171" spans="1:18" ht="15" customHeight="1" x14ac:dyDescent="0.2">
      <c r="A171" s="171" t="s">
        <v>239</v>
      </c>
      <c r="B171" s="212" t="s">
        <v>143</v>
      </c>
      <c r="C171" s="213" t="s">
        <v>92</v>
      </c>
      <c r="D171" s="213" t="s">
        <v>92</v>
      </c>
      <c r="E171" s="213" t="s">
        <v>92</v>
      </c>
      <c r="F171" s="213" t="s">
        <v>92</v>
      </c>
      <c r="G171" s="213" t="s">
        <v>92</v>
      </c>
      <c r="H171" s="213" t="s">
        <v>92</v>
      </c>
      <c r="I171" s="213" t="s">
        <v>92</v>
      </c>
      <c r="J171" s="213" t="s">
        <v>92</v>
      </c>
      <c r="K171" s="213" t="s">
        <v>92</v>
      </c>
      <c r="L171" s="213" t="s">
        <v>92</v>
      </c>
      <c r="M171" s="213" t="s">
        <v>92</v>
      </c>
      <c r="N171" s="213" t="s">
        <v>92</v>
      </c>
      <c r="O171" s="347" t="str">
        <f>IFERROR(IF(OR($C$5=$AB$2,$C$5=$AC$2,$C$5=$AD$2,$C$5=$AE$2,$C$5=$AF$2,$C$5=$AG$2,$C$5=$AH$2,$C$5=$AI$2,$C$5=$AJ$2),O169*366,O169*365),"")</f>
        <v/>
      </c>
      <c r="P171" s="348"/>
    </row>
    <row r="172" spans="1:18" ht="15" customHeight="1" x14ac:dyDescent="0.2">
      <c r="A172" s="171" t="s">
        <v>240</v>
      </c>
      <c r="B172" s="198" t="s">
        <v>145</v>
      </c>
      <c r="C172" s="213" t="s">
        <v>92</v>
      </c>
      <c r="D172" s="213" t="s">
        <v>92</v>
      </c>
      <c r="E172" s="213" t="s">
        <v>92</v>
      </c>
      <c r="F172" s="213" t="s">
        <v>92</v>
      </c>
      <c r="G172" s="213" t="s">
        <v>92</v>
      </c>
      <c r="H172" s="213" t="s">
        <v>92</v>
      </c>
      <c r="I172" s="213" t="s">
        <v>92</v>
      </c>
      <c r="J172" s="213" t="s">
        <v>92</v>
      </c>
      <c r="K172" s="213" t="s">
        <v>92</v>
      </c>
      <c r="L172" s="213" t="s">
        <v>92</v>
      </c>
      <c r="M172" s="213" t="s">
        <v>92</v>
      </c>
      <c r="N172" s="213" t="s">
        <v>92</v>
      </c>
      <c r="O172" s="349" t="str">
        <f>IFERROR(IF(OR($C$5=$AB$2,$C$5=$AC$2,$C$5=$AD$2,$C$5=$AE$2,$C$5=$AF$2,$C$5=$AG$2,$C$5=$AH$2,$C$5=$AI$2,$C$5=$AJ$2),O170*366,O170*365),"")</f>
        <v/>
      </c>
      <c r="P172" s="350"/>
    </row>
    <row r="173" spans="1:18" ht="15" customHeight="1" x14ac:dyDescent="0.2">
      <c r="A173" s="171" t="s">
        <v>241</v>
      </c>
      <c r="B173" s="192" t="s">
        <v>14</v>
      </c>
      <c r="C173" s="214" t="s">
        <v>92</v>
      </c>
      <c r="D173" s="214" t="s">
        <v>92</v>
      </c>
      <c r="E173" s="214" t="s">
        <v>92</v>
      </c>
      <c r="F173" s="214" t="s">
        <v>92</v>
      </c>
      <c r="G173" s="214" t="s">
        <v>92</v>
      </c>
      <c r="H173" s="214" t="s">
        <v>92</v>
      </c>
      <c r="I173" s="214" t="s">
        <v>92</v>
      </c>
      <c r="J173" s="214" t="s">
        <v>92</v>
      </c>
      <c r="K173" s="214" t="s">
        <v>92</v>
      </c>
      <c r="L173" s="214" t="s">
        <v>92</v>
      </c>
      <c r="M173" s="214" t="s">
        <v>92</v>
      </c>
      <c r="N173" s="214" t="s">
        <v>92</v>
      </c>
      <c r="O173" s="351" t="str">
        <f>IFERROR((P42/(P42+O135+O136+O137+O138))*100,"")</f>
        <v/>
      </c>
      <c r="P173" s="351"/>
    </row>
    <row r="174" spans="1:18" ht="15" customHeight="1" x14ac:dyDescent="0.2">
      <c r="A174" s="171" t="s">
        <v>242</v>
      </c>
      <c r="B174" s="215" t="s">
        <v>14</v>
      </c>
      <c r="C174" s="213" t="s">
        <v>92</v>
      </c>
      <c r="D174" s="213" t="s">
        <v>92</v>
      </c>
      <c r="E174" s="213" t="s">
        <v>92</v>
      </c>
      <c r="F174" s="213" t="s">
        <v>92</v>
      </c>
      <c r="G174" s="213" t="s">
        <v>92</v>
      </c>
      <c r="H174" s="213" t="s">
        <v>92</v>
      </c>
      <c r="I174" s="213" t="s">
        <v>92</v>
      </c>
      <c r="J174" s="213" t="s">
        <v>92</v>
      </c>
      <c r="K174" s="213" t="s">
        <v>92</v>
      </c>
      <c r="L174" s="213" t="s">
        <v>92</v>
      </c>
      <c r="M174" s="213" t="s">
        <v>92</v>
      </c>
      <c r="N174" s="213" t="s">
        <v>92</v>
      </c>
      <c r="O174" s="363" t="str">
        <f>IFERROR(((O135+O136+O137+O138)/(P42+O135+O136+O137+O138))*100,"")</f>
        <v/>
      </c>
      <c r="P174" s="364"/>
    </row>
    <row r="175" spans="1:18" ht="15" customHeight="1" x14ac:dyDescent="0.2">
      <c r="A175" s="216" t="s">
        <v>243</v>
      </c>
      <c r="B175" s="204" t="s">
        <v>14</v>
      </c>
      <c r="C175" s="217" t="s">
        <v>92</v>
      </c>
      <c r="D175" s="217" t="s">
        <v>92</v>
      </c>
      <c r="E175" s="217" t="s">
        <v>92</v>
      </c>
      <c r="F175" s="217" t="s">
        <v>92</v>
      </c>
      <c r="G175" s="217" t="s">
        <v>92</v>
      </c>
      <c r="H175" s="217" t="s">
        <v>92</v>
      </c>
      <c r="I175" s="217" t="s">
        <v>92</v>
      </c>
      <c r="J175" s="217" t="s">
        <v>92</v>
      </c>
      <c r="K175" s="217" t="s">
        <v>92</v>
      </c>
      <c r="L175" s="217" t="s">
        <v>92</v>
      </c>
      <c r="M175" s="217" t="s">
        <v>92</v>
      </c>
      <c r="N175" s="218" t="s">
        <v>92</v>
      </c>
      <c r="O175" s="361" t="str">
        <f>IFERROR((O166/O139)*100,"")</f>
        <v/>
      </c>
      <c r="P175" s="362"/>
    </row>
    <row r="176" spans="1:18" ht="15" customHeight="1" x14ac:dyDescent="0.2">
      <c r="A176" s="386" t="str">
        <f>A1</f>
        <v>Proprietário:</v>
      </c>
      <c r="B176" s="386"/>
      <c r="C176" s="386"/>
      <c r="D176" s="386"/>
      <c r="E176" s="386" t="str">
        <f>E1</f>
        <v>Propriedade:</v>
      </c>
      <c r="F176" s="386"/>
      <c r="G176" s="386"/>
      <c r="H176" s="386"/>
      <c r="I176" s="386"/>
      <c r="J176" s="386"/>
      <c r="K176" s="386"/>
      <c r="L176" s="386"/>
      <c r="M176" s="13"/>
      <c r="N176" s="13"/>
      <c r="O176" s="358"/>
      <c r="P176" s="358"/>
    </row>
    <row r="177" spans="1:16" ht="15" customHeight="1" x14ac:dyDescent="0.2">
      <c r="A177" s="387" t="str">
        <f>A2</f>
        <v>Município:</v>
      </c>
      <c r="B177" s="387"/>
      <c r="C177" s="387"/>
      <c r="D177" s="387"/>
      <c r="E177" s="385" t="str">
        <f>E2</f>
        <v>Área da atividade leiteira:</v>
      </c>
      <c r="F177" s="385"/>
      <c r="G177" s="385"/>
      <c r="H177" s="385"/>
      <c r="I177" s="166">
        <f>O113</f>
        <v>0</v>
      </c>
      <c r="J177" s="13" t="s">
        <v>84</v>
      </c>
      <c r="K177" s="13"/>
      <c r="L177" s="13"/>
      <c r="M177" s="13"/>
      <c r="N177" s="13"/>
      <c r="O177" s="358"/>
      <c r="P177" s="358"/>
    </row>
    <row r="178" spans="1:16" ht="15" customHeight="1" x14ac:dyDescent="0.2">
      <c r="A178" s="339" t="str">
        <f>A3</f>
        <v>Técnico Responsável:</v>
      </c>
      <c r="B178" s="339"/>
      <c r="C178" s="339"/>
      <c r="D178" s="339"/>
      <c r="E178" s="339" t="str">
        <f>E3</f>
        <v xml:space="preserve">Entrada no Balde Cheio: </v>
      </c>
      <c r="F178" s="339"/>
      <c r="G178" s="340"/>
      <c r="H178" s="183">
        <f>H3</f>
        <v>0</v>
      </c>
      <c r="I178" s="183">
        <f>I3</f>
        <v>0</v>
      </c>
      <c r="J178" s="376" t="str">
        <f>L3</f>
        <v>versão BC 07</v>
      </c>
      <c r="K178" s="377"/>
      <c r="L178" s="377"/>
      <c r="M178" s="13"/>
      <c r="N178" s="13"/>
      <c r="O178" s="358"/>
      <c r="P178" s="358"/>
    </row>
    <row r="179" spans="1:16" ht="15" customHeight="1" x14ac:dyDescent="0.2">
      <c r="A179" s="207" t="s">
        <v>82</v>
      </c>
      <c r="B179" s="163" t="s">
        <v>10</v>
      </c>
      <c r="C179" s="165" t="s">
        <v>94</v>
      </c>
      <c r="D179" s="165" t="s">
        <v>68</v>
      </c>
      <c r="E179" s="165" t="s">
        <v>69</v>
      </c>
      <c r="F179" s="165" t="s">
        <v>70</v>
      </c>
      <c r="G179" s="165" t="s">
        <v>71</v>
      </c>
      <c r="H179" s="165" t="s">
        <v>72</v>
      </c>
      <c r="I179" s="165" t="s">
        <v>73</v>
      </c>
      <c r="J179" s="165" t="s">
        <v>74</v>
      </c>
      <c r="K179" s="165" t="s">
        <v>75</v>
      </c>
      <c r="L179" s="165" t="s">
        <v>76</v>
      </c>
      <c r="M179" s="165" t="s">
        <v>77</v>
      </c>
      <c r="N179" s="165" t="s">
        <v>78</v>
      </c>
      <c r="O179" s="359" t="s">
        <v>2</v>
      </c>
      <c r="P179" s="360"/>
    </row>
    <row r="180" spans="1:16" ht="15" customHeight="1" x14ac:dyDescent="0.2">
      <c r="A180" s="208" t="s">
        <v>81</v>
      </c>
      <c r="B180" s="169"/>
      <c r="C180" s="169">
        <f t="shared" ref="C180:N180" si="75">C5</f>
        <v>2018</v>
      </c>
      <c r="D180" s="169">
        <f t="shared" si="75"/>
        <v>2018</v>
      </c>
      <c r="E180" s="169">
        <f t="shared" si="75"/>
        <v>2018</v>
      </c>
      <c r="F180" s="169">
        <f t="shared" si="75"/>
        <v>2018</v>
      </c>
      <c r="G180" s="169">
        <f t="shared" si="75"/>
        <v>2018</v>
      </c>
      <c r="H180" s="169">
        <f t="shared" si="75"/>
        <v>2018</v>
      </c>
      <c r="I180" s="169">
        <f t="shared" si="75"/>
        <v>2018</v>
      </c>
      <c r="J180" s="169">
        <f t="shared" si="75"/>
        <v>2018</v>
      </c>
      <c r="K180" s="169">
        <f t="shared" si="75"/>
        <v>2018</v>
      </c>
      <c r="L180" s="169">
        <f t="shared" si="75"/>
        <v>2018</v>
      </c>
      <c r="M180" s="169">
        <f t="shared" si="75"/>
        <v>2018</v>
      </c>
      <c r="N180" s="169">
        <f t="shared" si="75"/>
        <v>2018</v>
      </c>
      <c r="O180" s="382"/>
      <c r="P180" s="383"/>
    </row>
    <row r="181" spans="1:16" ht="15" customHeight="1" x14ac:dyDescent="0.2">
      <c r="A181" s="287" t="s">
        <v>83</v>
      </c>
      <c r="B181" s="288" t="s">
        <v>1</v>
      </c>
      <c r="C181" s="289"/>
      <c r="D181" s="289"/>
      <c r="E181" s="289"/>
      <c r="F181" s="289"/>
      <c r="G181" s="289"/>
      <c r="H181" s="289"/>
      <c r="I181" s="289"/>
      <c r="J181" s="289"/>
      <c r="K181" s="289"/>
      <c r="L181" s="289"/>
      <c r="M181" s="289"/>
      <c r="N181" s="289"/>
      <c r="O181" s="356">
        <f>IFERROR(SUM(C181:N181),"")</f>
        <v>0</v>
      </c>
      <c r="P181" s="357"/>
    </row>
    <row r="182" spans="1:16" ht="15" customHeight="1" x14ac:dyDescent="0.2">
      <c r="A182" s="209" t="s">
        <v>159</v>
      </c>
      <c r="B182" s="212" t="s">
        <v>51</v>
      </c>
      <c r="C182" s="286" t="str">
        <f t="shared" ref="C182:N182" si="76">IFERROR((C42+C181)/C89,"")</f>
        <v/>
      </c>
      <c r="D182" s="286" t="str">
        <f t="shared" si="76"/>
        <v/>
      </c>
      <c r="E182" s="286" t="str">
        <f t="shared" si="76"/>
        <v/>
      </c>
      <c r="F182" s="286" t="str">
        <f t="shared" si="76"/>
        <v/>
      </c>
      <c r="G182" s="286" t="str">
        <f t="shared" si="76"/>
        <v/>
      </c>
      <c r="H182" s="286" t="str">
        <f t="shared" si="76"/>
        <v/>
      </c>
      <c r="I182" s="286" t="str">
        <f t="shared" si="76"/>
        <v/>
      </c>
      <c r="J182" s="286" t="str">
        <f t="shared" si="76"/>
        <v/>
      </c>
      <c r="K182" s="286" t="str">
        <f t="shared" si="76"/>
        <v/>
      </c>
      <c r="L182" s="286" t="str">
        <f t="shared" si="76"/>
        <v/>
      </c>
      <c r="M182" s="286" t="str">
        <f t="shared" si="76"/>
        <v/>
      </c>
      <c r="N182" s="286" t="str">
        <f t="shared" si="76"/>
        <v/>
      </c>
      <c r="O182" s="378" t="str">
        <f>IFERROR((P42+O181)/O89,"")</f>
        <v/>
      </c>
      <c r="P182" s="379"/>
    </row>
    <row r="183" spans="1:16" ht="15" customHeight="1" x14ac:dyDescent="0.2">
      <c r="A183" s="209" t="s">
        <v>245</v>
      </c>
      <c r="B183" s="198" t="s">
        <v>51</v>
      </c>
      <c r="C183" s="194" t="str">
        <f t="shared" ref="C183:N183" si="77">IFERROR((C42+C181)/C85,"")</f>
        <v/>
      </c>
      <c r="D183" s="194" t="str">
        <f t="shared" si="77"/>
        <v/>
      </c>
      <c r="E183" s="194" t="str">
        <f t="shared" si="77"/>
        <v/>
      </c>
      <c r="F183" s="194" t="str">
        <f t="shared" si="77"/>
        <v/>
      </c>
      <c r="G183" s="194" t="str">
        <f t="shared" si="77"/>
        <v/>
      </c>
      <c r="H183" s="194" t="str">
        <f t="shared" si="77"/>
        <v/>
      </c>
      <c r="I183" s="194" t="str">
        <f t="shared" si="77"/>
        <v/>
      </c>
      <c r="J183" s="194" t="str">
        <f t="shared" si="77"/>
        <v/>
      </c>
      <c r="K183" s="194" t="str">
        <f t="shared" si="77"/>
        <v/>
      </c>
      <c r="L183" s="194" t="str">
        <f t="shared" si="77"/>
        <v/>
      </c>
      <c r="M183" s="194" t="str">
        <f t="shared" si="77"/>
        <v/>
      </c>
      <c r="N183" s="194" t="str">
        <f t="shared" si="77"/>
        <v/>
      </c>
      <c r="O183" s="380" t="str">
        <f>IFERROR((P42+O181)/O85,"")</f>
        <v/>
      </c>
      <c r="P183" s="381"/>
    </row>
    <row r="184" spans="1:16" ht="15" customHeight="1" x14ac:dyDescent="0.2">
      <c r="A184" s="171" t="s">
        <v>246</v>
      </c>
      <c r="B184" s="198" t="s">
        <v>51</v>
      </c>
      <c r="C184" s="194" t="str">
        <f t="shared" ref="C184:N184" si="78">IFERROR((C42+C181)/(C89+C106),"")</f>
        <v/>
      </c>
      <c r="D184" s="194" t="str">
        <f t="shared" si="78"/>
        <v/>
      </c>
      <c r="E184" s="194" t="str">
        <f t="shared" si="78"/>
        <v/>
      </c>
      <c r="F184" s="194" t="str">
        <f t="shared" si="78"/>
        <v/>
      </c>
      <c r="G184" s="194" t="str">
        <f t="shared" si="78"/>
        <v/>
      </c>
      <c r="H184" s="194" t="str">
        <f t="shared" si="78"/>
        <v/>
      </c>
      <c r="I184" s="194" t="str">
        <f t="shared" si="78"/>
        <v/>
      </c>
      <c r="J184" s="194" t="str">
        <f t="shared" si="78"/>
        <v/>
      </c>
      <c r="K184" s="194" t="str">
        <f t="shared" si="78"/>
        <v/>
      </c>
      <c r="L184" s="194" t="str">
        <f t="shared" si="78"/>
        <v/>
      </c>
      <c r="M184" s="194" t="str">
        <f t="shared" si="78"/>
        <v/>
      </c>
      <c r="N184" s="194" t="str">
        <f t="shared" si="78"/>
        <v/>
      </c>
      <c r="O184" s="374" t="str">
        <f>IFERROR((P42+O181)/(O89+O106),"")</f>
        <v/>
      </c>
      <c r="P184" s="375"/>
    </row>
    <row r="185" spans="1:16" ht="15" customHeight="1" x14ac:dyDescent="0.2">
      <c r="A185" s="171" t="s">
        <v>247</v>
      </c>
      <c r="B185" s="198" t="s">
        <v>51</v>
      </c>
      <c r="C185" s="189" t="str">
        <f t="shared" ref="C185:N185" si="79">IFERROR((C42+C181)/(C85+C106),"")</f>
        <v/>
      </c>
      <c r="D185" s="189" t="str">
        <f t="shared" si="79"/>
        <v/>
      </c>
      <c r="E185" s="189" t="str">
        <f t="shared" si="79"/>
        <v/>
      </c>
      <c r="F185" s="189" t="str">
        <f t="shared" si="79"/>
        <v/>
      </c>
      <c r="G185" s="189" t="str">
        <f t="shared" si="79"/>
        <v/>
      </c>
      <c r="H185" s="189" t="str">
        <f t="shared" si="79"/>
        <v/>
      </c>
      <c r="I185" s="189" t="str">
        <f t="shared" si="79"/>
        <v/>
      </c>
      <c r="J185" s="189" t="str">
        <f t="shared" si="79"/>
        <v/>
      </c>
      <c r="K185" s="189" t="str">
        <f t="shared" si="79"/>
        <v/>
      </c>
      <c r="L185" s="189" t="str">
        <f t="shared" si="79"/>
        <v/>
      </c>
      <c r="M185" s="189" t="str">
        <f t="shared" si="79"/>
        <v/>
      </c>
      <c r="N185" s="189" t="str">
        <f t="shared" si="79"/>
        <v/>
      </c>
      <c r="O185" s="347" t="str">
        <f>IFERROR((P42+O181)/(O85+O106),"")</f>
        <v/>
      </c>
      <c r="P185" s="348"/>
    </row>
    <row r="186" spans="1:16" ht="15" customHeight="1" x14ac:dyDescent="0.2">
      <c r="A186" s="171" t="s">
        <v>248</v>
      </c>
      <c r="B186" s="198" t="s">
        <v>129</v>
      </c>
      <c r="C186" s="189" t="str">
        <f t="shared" ref="C186:N186" si="80">IFERROR((C42+C181)/(C92+C93),"")</f>
        <v/>
      </c>
      <c r="D186" s="189" t="str">
        <f t="shared" si="80"/>
        <v/>
      </c>
      <c r="E186" s="189" t="str">
        <f t="shared" si="80"/>
        <v/>
      </c>
      <c r="F186" s="189" t="str">
        <f t="shared" si="80"/>
        <v/>
      </c>
      <c r="G186" s="189" t="str">
        <f t="shared" si="80"/>
        <v/>
      </c>
      <c r="H186" s="189" t="str">
        <f t="shared" si="80"/>
        <v/>
      </c>
      <c r="I186" s="189" t="str">
        <f t="shared" si="80"/>
        <v/>
      </c>
      <c r="J186" s="189" t="str">
        <f t="shared" si="80"/>
        <v/>
      </c>
      <c r="K186" s="189" t="str">
        <f t="shared" si="80"/>
        <v/>
      </c>
      <c r="L186" s="189" t="str">
        <f t="shared" si="80"/>
        <v/>
      </c>
      <c r="M186" s="189" t="str">
        <f t="shared" si="80"/>
        <v/>
      </c>
      <c r="N186" s="189" t="str">
        <f t="shared" si="80"/>
        <v/>
      </c>
      <c r="O186" s="354">
        <f>IFERROR(SUM(C186:N186),"")</f>
        <v>0</v>
      </c>
      <c r="P186" s="355"/>
    </row>
    <row r="187" spans="1:16" ht="15" customHeight="1" x14ac:dyDescent="0.2">
      <c r="A187" s="171" t="s">
        <v>267</v>
      </c>
      <c r="B187" s="198" t="s">
        <v>130</v>
      </c>
      <c r="C187" s="187" t="str">
        <f t="shared" ref="C187:N187" si="81">IFERROR(C186/C130,"")</f>
        <v/>
      </c>
      <c r="D187" s="187" t="str">
        <f t="shared" si="81"/>
        <v/>
      </c>
      <c r="E187" s="187" t="str">
        <f t="shared" si="81"/>
        <v/>
      </c>
      <c r="F187" s="187" t="str">
        <f t="shared" si="81"/>
        <v/>
      </c>
      <c r="G187" s="187" t="str">
        <f t="shared" si="81"/>
        <v/>
      </c>
      <c r="H187" s="187" t="str">
        <f t="shared" si="81"/>
        <v/>
      </c>
      <c r="I187" s="187" t="str">
        <f t="shared" si="81"/>
        <v/>
      </c>
      <c r="J187" s="187" t="str">
        <f t="shared" si="81"/>
        <v/>
      </c>
      <c r="K187" s="187" t="str">
        <f t="shared" si="81"/>
        <v/>
      </c>
      <c r="L187" s="187" t="str">
        <f t="shared" si="81"/>
        <v/>
      </c>
      <c r="M187" s="187" t="str">
        <f t="shared" si="81"/>
        <v/>
      </c>
      <c r="N187" s="187" t="str">
        <f t="shared" si="81"/>
        <v/>
      </c>
      <c r="O187" s="352">
        <f>IFERROR(SUM(C187:N187),"")</f>
        <v>0</v>
      </c>
      <c r="P187" s="353"/>
    </row>
    <row r="188" spans="1:16" ht="15" customHeight="1" x14ac:dyDescent="0.2">
      <c r="A188" s="171" t="s">
        <v>249</v>
      </c>
      <c r="B188" s="198" t="s">
        <v>51</v>
      </c>
      <c r="C188" s="194" t="str">
        <f t="shared" ref="C188:N188" si="82">IFERROR((C58+C181)/C89,"")</f>
        <v/>
      </c>
      <c r="D188" s="194" t="str">
        <f t="shared" si="82"/>
        <v/>
      </c>
      <c r="E188" s="194" t="str">
        <f t="shared" si="82"/>
        <v/>
      </c>
      <c r="F188" s="194" t="str">
        <f t="shared" si="82"/>
        <v/>
      </c>
      <c r="G188" s="194" t="str">
        <f t="shared" si="82"/>
        <v/>
      </c>
      <c r="H188" s="194" t="str">
        <f t="shared" si="82"/>
        <v/>
      </c>
      <c r="I188" s="194" t="str">
        <f t="shared" si="82"/>
        <v/>
      </c>
      <c r="J188" s="194" t="str">
        <f t="shared" si="82"/>
        <v/>
      </c>
      <c r="K188" s="194" t="str">
        <f t="shared" si="82"/>
        <v/>
      </c>
      <c r="L188" s="194" t="str">
        <f t="shared" si="82"/>
        <v/>
      </c>
      <c r="M188" s="194" t="str">
        <f t="shared" si="82"/>
        <v/>
      </c>
      <c r="N188" s="194" t="str">
        <f t="shared" si="82"/>
        <v/>
      </c>
      <c r="O188" s="365" t="str">
        <f>IFERROR((P58+O181)/O89,"")</f>
        <v/>
      </c>
      <c r="P188" s="366"/>
    </row>
    <row r="189" spans="1:16" ht="15" customHeight="1" x14ac:dyDescent="0.2">
      <c r="A189" s="171" t="s">
        <v>250</v>
      </c>
      <c r="B189" s="198" t="s">
        <v>51</v>
      </c>
      <c r="C189" s="194" t="str">
        <f t="shared" ref="C189:N189" si="83">IFERROR((C58+C181)/(C89+C106),"")</f>
        <v/>
      </c>
      <c r="D189" s="194" t="str">
        <f t="shared" si="83"/>
        <v/>
      </c>
      <c r="E189" s="194" t="str">
        <f t="shared" si="83"/>
        <v/>
      </c>
      <c r="F189" s="194" t="str">
        <f t="shared" si="83"/>
        <v/>
      </c>
      <c r="G189" s="194" t="str">
        <f t="shared" si="83"/>
        <v/>
      </c>
      <c r="H189" s="194" t="str">
        <f t="shared" si="83"/>
        <v/>
      </c>
      <c r="I189" s="194" t="str">
        <f t="shared" si="83"/>
        <v/>
      </c>
      <c r="J189" s="194" t="str">
        <f t="shared" si="83"/>
        <v/>
      </c>
      <c r="K189" s="194" t="str">
        <f t="shared" si="83"/>
        <v/>
      </c>
      <c r="L189" s="194" t="str">
        <f t="shared" si="83"/>
        <v/>
      </c>
      <c r="M189" s="194" t="str">
        <f t="shared" si="83"/>
        <v/>
      </c>
      <c r="N189" s="194" t="str">
        <f t="shared" si="83"/>
        <v/>
      </c>
      <c r="O189" s="365" t="str">
        <f>IFERROR((P58+O181)/(O89+O106),"")</f>
        <v/>
      </c>
      <c r="P189" s="366"/>
    </row>
    <row r="190" spans="1:16" ht="15" customHeight="1" x14ac:dyDescent="0.2">
      <c r="A190" s="171" t="s">
        <v>251</v>
      </c>
      <c r="B190" s="198" t="s">
        <v>129</v>
      </c>
      <c r="C190" s="189" t="str">
        <f t="shared" ref="C190:N190" si="84">IFERROR(((C58+C181)/(C92+C93))/C130,"")</f>
        <v/>
      </c>
      <c r="D190" s="189" t="str">
        <f t="shared" si="84"/>
        <v/>
      </c>
      <c r="E190" s="189" t="str">
        <f t="shared" si="84"/>
        <v/>
      </c>
      <c r="F190" s="189" t="str">
        <f t="shared" si="84"/>
        <v/>
      </c>
      <c r="G190" s="189" t="str">
        <f t="shared" si="84"/>
        <v/>
      </c>
      <c r="H190" s="189" t="str">
        <f t="shared" si="84"/>
        <v/>
      </c>
      <c r="I190" s="189" t="str">
        <f t="shared" si="84"/>
        <v/>
      </c>
      <c r="J190" s="189" t="str">
        <f t="shared" si="84"/>
        <v/>
      </c>
      <c r="K190" s="189" t="str">
        <f t="shared" si="84"/>
        <v/>
      </c>
      <c r="L190" s="189" t="str">
        <f t="shared" si="84"/>
        <v/>
      </c>
      <c r="M190" s="189" t="str">
        <f t="shared" si="84"/>
        <v/>
      </c>
      <c r="N190" s="189" t="str">
        <f t="shared" si="84"/>
        <v/>
      </c>
      <c r="O190" s="354">
        <f>IFERROR(SUM(C190:N190),"")</f>
        <v>0</v>
      </c>
      <c r="P190" s="355"/>
    </row>
    <row r="191" spans="1:16" ht="15" customHeight="1" x14ac:dyDescent="0.2">
      <c r="A191" s="171" t="s">
        <v>272</v>
      </c>
      <c r="B191" s="198" t="s">
        <v>130</v>
      </c>
      <c r="C191" s="189" t="str">
        <f t="shared" ref="C191:N191" si="85">IFERROR(C190/C130,"")</f>
        <v/>
      </c>
      <c r="D191" s="189" t="str">
        <f t="shared" si="85"/>
        <v/>
      </c>
      <c r="E191" s="189" t="str">
        <f t="shared" si="85"/>
        <v/>
      </c>
      <c r="F191" s="189" t="str">
        <f t="shared" si="85"/>
        <v/>
      </c>
      <c r="G191" s="189" t="str">
        <f t="shared" si="85"/>
        <v/>
      </c>
      <c r="H191" s="189" t="str">
        <f t="shared" si="85"/>
        <v/>
      </c>
      <c r="I191" s="189" t="str">
        <f t="shared" si="85"/>
        <v/>
      </c>
      <c r="J191" s="189" t="str">
        <f t="shared" si="85"/>
        <v/>
      </c>
      <c r="K191" s="189" t="str">
        <f t="shared" si="85"/>
        <v/>
      </c>
      <c r="L191" s="189" t="str">
        <f t="shared" si="85"/>
        <v/>
      </c>
      <c r="M191" s="189" t="str">
        <f t="shared" si="85"/>
        <v/>
      </c>
      <c r="N191" s="189" t="str">
        <f t="shared" si="85"/>
        <v/>
      </c>
      <c r="O191" s="354">
        <f>IFERROR(SUM(C191:N191),"")</f>
        <v>0</v>
      </c>
      <c r="P191" s="355"/>
    </row>
    <row r="192" spans="1:16" ht="15" customHeight="1" x14ac:dyDescent="0.2">
      <c r="A192" s="171" t="s">
        <v>252</v>
      </c>
      <c r="B192" s="198" t="s">
        <v>51</v>
      </c>
      <c r="C192" s="194" t="str">
        <f t="shared" ref="C192:N192" si="86">IFERROR((C42+C135+C136+C137+C138+C181)/C89,"")</f>
        <v/>
      </c>
      <c r="D192" s="194" t="str">
        <f t="shared" si="86"/>
        <v/>
      </c>
      <c r="E192" s="194" t="str">
        <f t="shared" si="86"/>
        <v/>
      </c>
      <c r="F192" s="194" t="str">
        <f t="shared" si="86"/>
        <v/>
      </c>
      <c r="G192" s="194" t="str">
        <f t="shared" si="86"/>
        <v/>
      </c>
      <c r="H192" s="194" t="str">
        <f t="shared" si="86"/>
        <v/>
      </c>
      <c r="I192" s="194" t="str">
        <f t="shared" si="86"/>
        <v/>
      </c>
      <c r="J192" s="194" t="str">
        <f t="shared" si="86"/>
        <v/>
      </c>
      <c r="K192" s="194" t="str">
        <f t="shared" si="86"/>
        <v/>
      </c>
      <c r="L192" s="194" t="str">
        <f t="shared" si="86"/>
        <v/>
      </c>
      <c r="M192" s="194" t="str">
        <f t="shared" si="86"/>
        <v/>
      </c>
      <c r="N192" s="194" t="str">
        <f t="shared" si="86"/>
        <v/>
      </c>
      <c r="O192" s="365" t="str">
        <f>IFERROR((P42+O135+O136+O137+O138+O181)/O89,"")</f>
        <v/>
      </c>
      <c r="P192" s="366"/>
    </row>
    <row r="193" spans="1:16" ht="15" customHeight="1" x14ac:dyDescent="0.2">
      <c r="A193" s="171" t="s">
        <v>253</v>
      </c>
      <c r="B193" s="198" t="s">
        <v>51</v>
      </c>
      <c r="C193" s="194" t="str">
        <f t="shared" ref="C193:N193" si="87">IFERROR((C42+C135+C136+C137+C138+C181)/(C89+C106),"")</f>
        <v/>
      </c>
      <c r="D193" s="194" t="str">
        <f t="shared" si="87"/>
        <v/>
      </c>
      <c r="E193" s="194" t="str">
        <f t="shared" si="87"/>
        <v/>
      </c>
      <c r="F193" s="194" t="str">
        <f t="shared" si="87"/>
        <v/>
      </c>
      <c r="G193" s="194" t="str">
        <f t="shared" si="87"/>
        <v/>
      </c>
      <c r="H193" s="194" t="str">
        <f t="shared" si="87"/>
        <v/>
      </c>
      <c r="I193" s="194" t="str">
        <f t="shared" si="87"/>
        <v/>
      </c>
      <c r="J193" s="194" t="str">
        <f t="shared" si="87"/>
        <v/>
      </c>
      <c r="K193" s="194" t="str">
        <f t="shared" si="87"/>
        <v/>
      </c>
      <c r="L193" s="194" t="str">
        <f t="shared" si="87"/>
        <v/>
      </c>
      <c r="M193" s="194" t="str">
        <f t="shared" si="87"/>
        <v/>
      </c>
      <c r="N193" s="194" t="str">
        <f t="shared" si="87"/>
        <v/>
      </c>
      <c r="O193" s="367" t="str">
        <f>IFERROR((P42+O135+O136+O137+O138+O181)/(O89+O106),"")</f>
        <v/>
      </c>
      <c r="P193" s="368"/>
    </row>
    <row r="194" spans="1:16" ht="15" customHeight="1" x14ac:dyDescent="0.2">
      <c r="A194" s="171" t="s">
        <v>254</v>
      </c>
      <c r="B194" s="198" t="s">
        <v>1</v>
      </c>
      <c r="C194" s="189">
        <f t="shared" ref="C194:N194" si="88">IFERROR(C75-C42-C181,"")</f>
        <v>0</v>
      </c>
      <c r="D194" s="189">
        <f t="shared" si="88"/>
        <v>0</v>
      </c>
      <c r="E194" s="189">
        <f t="shared" si="88"/>
        <v>0</v>
      </c>
      <c r="F194" s="189">
        <f t="shared" si="88"/>
        <v>0</v>
      </c>
      <c r="G194" s="189">
        <f t="shared" si="88"/>
        <v>0</v>
      </c>
      <c r="H194" s="189">
        <f t="shared" si="88"/>
        <v>0</v>
      </c>
      <c r="I194" s="189">
        <f t="shared" si="88"/>
        <v>0</v>
      </c>
      <c r="J194" s="189">
        <f t="shared" si="88"/>
        <v>0</v>
      </c>
      <c r="K194" s="189">
        <f t="shared" si="88"/>
        <v>0</v>
      </c>
      <c r="L194" s="189">
        <f t="shared" si="88"/>
        <v>0</v>
      </c>
      <c r="M194" s="189">
        <f t="shared" si="88"/>
        <v>0</v>
      </c>
      <c r="N194" s="189">
        <f t="shared" si="88"/>
        <v>0</v>
      </c>
      <c r="O194" s="341">
        <f>IFERROR(SUM(C194:N194),"")</f>
        <v>0</v>
      </c>
      <c r="P194" s="342"/>
    </row>
    <row r="195" spans="1:16" ht="15" customHeight="1" x14ac:dyDescent="0.2">
      <c r="A195" s="171" t="s">
        <v>255</v>
      </c>
      <c r="B195" s="198" t="s">
        <v>52</v>
      </c>
      <c r="C195" s="189" t="str">
        <f t="shared" ref="C195:N195" si="89">IFERROR(C194/C113,"")</f>
        <v/>
      </c>
      <c r="D195" s="189" t="str">
        <f t="shared" si="89"/>
        <v/>
      </c>
      <c r="E195" s="189" t="str">
        <f t="shared" si="89"/>
        <v/>
      </c>
      <c r="F195" s="189" t="str">
        <f t="shared" si="89"/>
        <v/>
      </c>
      <c r="G195" s="189" t="str">
        <f t="shared" si="89"/>
        <v/>
      </c>
      <c r="H195" s="189" t="str">
        <f t="shared" si="89"/>
        <v/>
      </c>
      <c r="I195" s="189" t="str">
        <f t="shared" si="89"/>
        <v/>
      </c>
      <c r="J195" s="189" t="str">
        <f t="shared" si="89"/>
        <v/>
      </c>
      <c r="K195" s="189" t="str">
        <f t="shared" si="89"/>
        <v/>
      </c>
      <c r="L195" s="189" t="str">
        <f t="shared" si="89"/>
        <v/>
      </c>
      <c r="M195" s="189" t="str">
        <f t="shared" si="89"/>
        <v/>
      </c>
      <c r="N195" s="189" t="str">
        <f t="shared" si="89"/>
        <v/>
      </c>
      <c r="O195" s="354">
        <f>IFERROR(SUM(C195:N195),"")</f>
        <v>0</v>
      </c>
      <c r="P195" s="355"/>
    </row>
    <row r="196" spans="1:16" ht="15" customHeight="1" x14ac:dyDescent="0.2">
      <c r="A196" s="171" t="s">
        <v>256</v>
      </c>
      <c r="B196" s="198" t="s">
        <v>129</v>
      </c>
      <c r="C196" s="189" t="str">
        <f t="shared" ref="C196:O196" si="90">IFERROR(C194/(C92+C93),"")</f>
        <v/>
      </c>
      <c r="D196" s="189" t="str">
        <f t="shared" si="90"/>
        <v/>
      </c>
      <c r="E196" s="189" t="str">
        <f t="shared" si="90"/>
        <v/>
      </c>
      <c r="F196" s="189" t="str">
        <f t="shared" si="90"/>
        <v/>
      </c>
      <c r="G196" s="189" t="str">
        <f t="shared" si="90"/>
        <v/>
      </c>
      <c r="H196" s="189" t="str">
        <f t="shared" si="90"/>
        <v/>
      </c>
      <c r="I196" s="189" t="str">
        <f t="shared" si="90"/>
        <v/>
      </c>
      <c r="J196" s="189" t="str">
        <f t="shared" si="90"/>
        <v/>
      </c>
      <c r="K196" s="189" t="str">
        <f t="shared" si="90"/>
        <v/>
      </c>
      <c r="L196" s="189" t="str">
        <f t="shared" si="90"/>
        <v/>
      </c>
      <c r="M196" s="189" t="str">
        <f t="shared" si="90"/>
        <v/>
      </c>
      <c r="N196" s="189" t="str">
        <f t="shared" si="90"/>
        <v/>
      </c>
      <c r="O196" s="354" t="str">
        <f t="shared" si="90"/>
        <v/>
      </c>
      <c r="P196" s="355"/>
    </row>
    <row r="197" spans="1:16" ht="15" customHeight="1" x14ac:dyDescent="0.2">
      <c r="A197" s="171" t="s">
        <v>257</v>
      </c>
      <c r="B197" s="198" t="s">
        <v>1</v>
      </c>
      <c r="C197" s="189">
        <f t="shared" ref="C197:N197" si="91">IFERROR(C75-C42-C135-C136-C137-C138-C181,"")</f>
        <v>0</v>
      </c>
      <c r="D197" s="189">
        <f t="shared" si="91"/>
        <v>0</v>
      </c>
      <c r="E197" s="189">
        <f t="shared" si="91"/>
        <v>0</v>
      </c>
      <c r="F197" s="189">
        <f t="shared" si="91"/>
        <v>0</v>
      </c>
      <c r="G197" s="189">
        <f t="shared" si="91"/>
        <v>0</v>
      </c>
      <c r="H197" s="189">
        <f t="shared" si="91"/>
        <v>0</v>
      </c>
      <c r="I197" s="189">
        <f t="shared" si="91"/>
        <v>0</v>
      </c>
      <c r="J197" s="189">
        <f t="shared" si="91"/>
        <v>0</v>
      </c>
      <c r="K197" s="189">
        <f t="shared" si="91"/>
        <v>0</v>
      </c>
      <c r="L197" s="189">
        <f t="shared" si="91"/>
        <v>0</v>
      </c>
      <c r="M197" s="189">
        <f t="shared" si="91"/>
        <v>0</v>
      </c>
      <c r="N197" s="189">
        <f t="shared" si="91"/>
        <v>0</v>
      </c>
      <c r="O197" s="354">
        <f>IFERROR(SUM(C197:N197),"")</f>
        <v>0</v>
      </c>
      <c r="P197" s="355"/>
    </row>
    <row r="198" spans="1:16" ht="15" customHeight="1" x14ac:dyDescent="0.2">
      <c r="A198" s="171" t="s">
        <v>258</v>
      </c>
      <c r="B198" s="198" t="s">
        <v>52</v>
      </c>
      <c r="C198" s="189" t="str">
        <f t="shared" ref="C198:N198" si="92">IFERROR(C197/C113,"")</f>
        <v/>
      </c>
      <c r="D198" s="189" t="str">
        <f t="shared" si="92"/>
        <v/>
      </c>
      <c r="E198" s="189" t="str">
        <f t="shared" si="92"/>
        <v/>
      </c>
      <c r="F198" s="189" t="str">
        <f t="shared" si="92"/>
        <v/>
      </c>
      <c r="G198" s="189" t="str">
        <f t="shared" si="92"/>
        <v/>
      </c>
      <c r="H198" s="189" t="str">
        <f t="shared" si="92"/>
        <v/>
      </c>
      <c r="I198" s="189" t="str">
        <f t="shared" si="92"/>
        <v/>
      </c>
      <c r="J198" s="189" t="str">
        <f t="shared" si="92"/>
        <v/>
      </c>
      <c r="K198" s="189" t="str">
        <f t="shared" si="92"/>
        <v/>
      </c>
      <c r="L198" s="189" t="str">
        <f t="shared" si="92"/>
        <v/>
      </c>
      <c r="M198" s="189" t="str">
        <f t="shared" si="92"/>
        <v/>
      </c>
      <c r="N198" s="189" t="str">
        <f t="shared" si="92"/>
        <v/>
      </c>
      <c r="O198" s="354">
        <f>IFERROR(SUM(C198:N198),"")</f>
        <v>0</v>
      </c>
      <c r="P198" s="355"/>
    </row>
    <row r="199" spans="1:16" ht="15" customHeight="1" x14ac:dyDescent="0.2">
      <c r="A199" s="171" t="s">
        <v>259</v>
      </c>
      <c r="B199" s="198" t="s">
        <v>51</v>
      </c>
      <c r="C199" s="189" t="str">
        <f t="shared" ref="C199:O199" si="93">IFERROR(C197/C89,"")</f>
        <v/>
      </c>
      <c r="D199" s="189" t="str">
        <f t="shared" si="93"/>
        <v/>
      </c>
      <c r="E199" s="189" t="str">
        <f t="shared" si="93"/>
        <v/>
      </c>
      <c r="F199" s="189" t="str">
        <f t="shared" si="93"/>
        <v/>
      </c>
      <c r="G199" s="189" t="str">
        <f t="shared" si="93"/>
        <v/>
      </c>
      <c r="H199" s="189" t="str">
        <f t="shared" si="93"/>
        <v/>
      </c>
      <c r="I199" s="189" t="str">
        <f t="shared" si="93"/>
        <v/>
      </c>
      <c r="J199" s="189" t="str">
        <f t="shared" si="93"/>
        <v/>
      </c>
      <c r="K199" s="189" t="str">
        <f t="shared" si="93"/>
        <v/>
      </c>
      <c r="L199" s="189" t="str">
        <f t="shared" si="93"/>
        <v/>
      </c>
      <c r="M199" s="189" t="str">
        <f t="shared" si="93"/>
        <v/>
      </c>
      <c r="N199" s="189" t="str">
        <f t="shared" si="93"/>
        <v/>
      </c>
      <c r="O199" s="369" t="str">
        <f t="shared" si="93"/>
        <v/>
      </c>
      <c r="P199" s="370"/>
    </row>
    <row r="200" spans="1:16" ht="15" customHeight="1" x14ac:dyDescent="0.2">
      <c r="A200" s="171" t="s">
        <v>260</v>
      </c>
      <c r="B200" s="202" t="s">
        <v>142</v>
      </c>
      <c r="C200" s="189" t="str">
        <f>IFERROR((C197/(C92+C93))/31,"")</f>
        <v/>
      </c>
      <c r="D200" s="189" t="str">
        <f>IFERROR(IF(OR($C$5=$AB$2,$C$5=$AC$2,$C$5=$AD$2,$C$5=$AE$2,$C$5=$AF$2,$C$5=$AG$2,$C$5=$AH$2,$C$5=$AI$2,$C$5=$AJ$2),(D197/(D92+D93))/29,(D197/(D92+D93))/28),"")</f>
        <v/>
      </c>
      <c r="E200" s="189" t="str">
        <f>IFERROR((E197/(E92+E93))/31,"")</f>
        <v/>
      </c>
      <c r="F200" s="189" t="str">
        <f>IFERROR((F197/(F92+F93))/30,"")</f>
        <v/>
      </c>
      <c r="G200" s="189" t="str">
        <f>IFERROR((G197/(G92+G93))/31,"")</f>
        <v/>
      </c>
      <c r="H200" s="189" t="str">
        <f>IFERROR((H197/(H92+H93))/30,"")</f>
        <v/>
      </c>
      <c r="I200" s="189" t="str">
        <f>IFERROR((I197/(I92+I93))/31,"")</f>
        <v/>
      </c>
      <c r="J200" s="189" t="str">
        <f>IFERROR((J197/(J92+J93))/31,"")</f>
        <v/>
      </c>
      <c r="K200" s="189" t="str">
        <f>IFERROR((K197/(K92+K93))/30,"")</f>
        <v/>
      </c>
      <c r="L200" s="189" t="str">
        <f>IFERROR((L197/(L92+L93))/31,"")</f>
        <v/>
      </c>
      <c r="M200" s="189" t="str">
        <f>IFERROR((M197/(M92+M93))/30,"")</f>
        <v/>
      </c>
      <c r="N200" s="189" t="str">
        <f>IFERROR((N197/(N92+N93))/31,"")</f>
        <v/>
      </c>
      <c r="O200" s="347" t="str">
        <f>IFERROR(IF(OR($C$5=$AB$2,$C$5=$AC$2,$C$5=$AD$2,$C$5=$AE$2,$C$5=$AF$2,$C$5=$AG$2,$C$5=$AH$2,$C$5=$AI$2,$C$5=$AJ$2),O197/(O92+O93)/366,O197/(O92+O93)/365),"")</f>
        <v/>
      </c>
      <c r="P200" s="348"/>
    </row>
    <row r="201" spans="1:16" ht="15" customHeight="1" x14ac:dyDescent="0.2">
      <c r="A201" s="210" t="s">
        <v>261</v>
      </c>
      <c r="B201" s="186" t="s">
        <v>144</v>
      </c>
      <c r="C201" s="219" t="str">
        <f t="shared" ref="C201:O201" si="94">IFERROR(C200/C130,"")</f>
        <v/>
      </c>
      <c r="D201" s="219" t="str">
        <f t="shared" si="94"/>
        <v/>
      </c>
      <c r="E201" s="219" t="str">
        <f t="shared" si="94"/>
        <v/>
      </c>
      <c r="F201" s="219" t="str">
        <f t="shared" si="94"/>
        <v/>
      </c>
      <c r="G201" s="219" t="str">
        <f t="shared" si="94"/>
        <v/>
      </c>
      <c r="H201" s="219" t="str">
        <f t="shared" si="94"/>
        <v/>
      </c>
      <c r="I201" s="219" t="str">
        <f t="shared" si="94"/>
        <v/>
      </c>
      <c r="J201" s="219" t="str">
        <f t="shared" si="94"/>
        <v/>
      </c>
      <c r="K201" s="219" t="str">
        <f t="shared" si="94"/>
        <v/>
      </c>
      <c r="L201" s="219" t="str">
        <f t="shared" si="94"/>
        <v/>
      </c>
      <c r="M201" s="219" t="str">
        <f t="shared" si="94"/>
        <v/>
      </c>
      <c r="N201" s="219" t="str">
        <f t="shared" si="94"/>
        <v/>
      </c>
      <c r="O201" s="374" t="str">
        <f t="shared" si="94"/>
        <v/>
      </c>
      <c r="P201" s="375"/>
    </row>
    <row r="202" spans="1:16" ht="15" customHeight="1" x14ac:dyDescent="0.2">
      <c r="A202" s="171" t="s">
        <v>262</v>
      </c>
      <c r="B202" s="212" t="s">
        <v>143</v>
      </c>
      <c r="C202" s="213" t="s">
        <v>92</v>
      </c>
      <c r="D202" s="213" t="s">
        <v>92</v>
      </c>
      <c r="E202" s="213" t="s">
        <v>92</v>
      </c>
      <c r="F202" s="213" t="s">
        <v>92</v>
      </c>
      <c r="G202" s="213" t="s">
        <v>92</v>
      </c>
      <c r="H202" s="213" t="s">
        <v>92</v>
      </c>
      <c r="I202" s="213" t="s">
        <v>92</v>
      </c>
      <c r="J202" s="213" t="s">
        <v>92</v>
      </c>
      <c r="K202" s="213" t="s">
        <v>92</v>
      </c>
      <c r="L202" s="213" t="s">
        <v>92</v>
      </c>
      <c r="M202" s="213" t="s">
        <v>92</v>
      </c>
      <c r="N202" s="213" t="s">
        <v>92</v>
      </c>
      <c r="O202" s="347" t="str">
        <f>IFERROR(IF(OR($C$5=$AB$2,$C$5=$AC$2,$C$5=$AD$2,$C$5=$AE$2,$C$5=$AF$2,$C$5=$AG$2,$C$5=$AH$2,$C$5=$AI$2,$C$5=$AJ$2),O200*366,O200*365),"")</f>
        <v/>
      </c>
      <c r="P202" s="348"/>
    </row>
    <row r="203" spans="1:16" ht="15" customHeight="1" x14ac:dyDescent="0.2">
      <c r="A203" s="171" t="s">
        <v>263</v>
      </c>
      <c r="B203" s="198" t="s">
        <v>145</v>
      </c>
      <c r="C203" s="213" t="s">
        <v>92</v>
      </c>
      <c r="D203" s="213" t="s">
        <v>92</v>
      </c>
      <c r="E203" s="213" t="s">
        <v>92</v>
      </c>
      <c r="F203" s="213" t="s">
        <v>92</v>
      </c>
      <c r="G203" s="213" t="s">
        <v>92</v>
      </c>
      <c r="H203" s="213" t="s">
        <v>92</v>
      </c>
      <c r="I203" s="213" t="s">
        <v>92</v>
      </c>
      <c r="J203" s="213" t="s">
        <v>92</v>
      </c>
      <c r="K203" s="213" t="s">
        <v>92</v>
      </c>
      <c r="L203" s="213" t="s">
        <v>92</v>
      </c>
      <c r="M203" s="213" t="s">
        <v>92</v>
      </c>
      <c r="N203" s="213" t="s">
        <v>92</v>
      </c>
      <c r="O203" s="349" t="str">
        <f>IFERROR(IF(OR($C$5=$AB$2,$C$5=$AC$2,$C$5=$AD$2,$C$5=$AE$2,$C$5=$AF$2,$C$5=$AG$2,$C$5=$AH$2,$C$5=$AI$2,$C$5=$AJ$2),O201*366,O201*365),"")</f>
        <v/>
      </c>
      <c r="P203" s="350"/>
    </row>
    <row r="204" spans="1:16" ht="15" customHeight="1" x14ac:dyDescent="0.2">
      <c r="A204" s="171" t="s">
        <v>264</v>
      </c>
      <c r="B204" s="192" t="s">
        <v>14</v>
      </c>
      <c r="C204" s="214" t="s">
        <v>92</v>
      </c>
      <c r="D204" s="214" t="s">
        <v>92</v>
      </c>
      <c r="E204" s="214" t="s">
        <v>92</v>
      </c>
      <c r="F204" s="214" t="s">
        <v>92</v>
      </c>
      <c r="G204" s="214" t="s">
        <v>92</v>
      </c>
      <c r="H204" s="214" t="s">
        <v>92</v>
      </c>
      <c r="I204" s="214" t="s">
        <v>92</v>
      </c>
      <c r="J204" s="214" t="s">
        <v>92</v>
      </c>
      <c r="K204" s="214" t="s">
        <v>92</v>
      </c>
      <c r="L204" s="214" t="s">
        <v>92</v>
      </c>
      <c r="M204" s="214" t="s">
        <v>92</v>
      </c>
      <c r="N204" s="214" t="s">
        <v>92</v>
      </c>
      <c r="O204" s="351" t="str">
        <f>IFERROR(((P42+O181)/(P42+O135+O136+O137+O138+O181))*100,"")</f>
        <v/>
      </c>
      <c r="P204" s="351"/>
    </row>
    <row r="205" spans="1:16" ht="15" customHeight="1" x14ac:dyDescent="0.2">
      <c r="A205" s="171" t="s">
        <v>265</v>
      </c>
      <c r="B205" s="215" t="s">
        <v>14</v>
      </c>
      <c r="C205" s="213" t="s">
        <v>92</v>
      </c>
      <c r="D205" s="213" t="s">
        <v>92</v>
      </c>
      <c r="E205" s="213" t="s">
        <v>92</v>
      </c>
      <c r="F205" s="213" t="s">
        <v>92</v>
      </c>
      <c r="G205" s="213" t="s">
        <v>92</v>
      </c>
      <c r="H205" s="213" t="s">
        <v>92</v>
      </c>
      <c r="I205" s="213" t="s">
        <v>92</v>
      </c>
      <c r="J205" s="213" t="s">
        <v>92</v>
      </c>
      <c r="K205" s="213" t="s">
        <v>92</v>
      </c>
      <c r="L205" s="213" t="s">
        <v>92</v>
      </c>
      <c r="M205" s="213" t="s">
        <v>92</v>
      </c>
      <c r="N205" s="213" t="s">
        <v>92</v>
      </c>
      <c r="O205" s="363" t="str">
        <f>IFERROR(((O135+O136+O137+O138)/(P42+O135+O136+O137+O138+O181))*100,"")</f>
        <v/>
      </c>
      <c r="P205" s="364"/>
    </row>
    <row r="206" spans="1:16" ht="15" customHeight="1" x14ac:dyDescent="0.2">
      <c r="A206" s="216" t="s">
        <v>266</v>
      </c>
      <c r="B206" s="204" t="s">
        <v>14</v>
      </c>
      <c r="C206" s="217" t="s">
        <v>92</v>
      </c>
      <c r="D206" s="217" t="s">
        <v>92</v>
      </c>
      <c r="E206" s="217" t="s">
        <v>92</v>
      </c>
      <c r="F206" s="217" t="s">
        <v>92</v>
      </c>
      <c r="G206" s="217" t="s">
        <v>92</v>
      </c>
      <c r="H206" s="217" t="s">
        <v>92</v>
      </c>
      <c r="I206" s="217" t="s">
        <v>92</v>
      </c>
      <c r="J206" s="217" t="s">
        <v>92</v>
      </c>
      <c r="K206" s="217" t="s">
        <v>92</v>
      </c>
      <c r="L206" s="217" t="s">
        <v>92</v>
      </c>
      <c r="M206" s="217" t="s">
        <v>92</v>
      </c>
      <c r="N206" s="218" t="s">
        <v>92</v>
      </c>
      <c r="O206" s="361" t="str">
        <f>IFERROR((O197/O139)*100,"")</f>
        <v/>
      </c>
      <c r="P206" s="362"/>
    </row>
  </sheetData>
  <customSheetViews>
    <customSheetView guid="{97A6A664-2357-4472-A4F3-F41AC18A86A2}" scale="110" topLeftCell="W1">
      <selection activeCell="AB1" sqref="AB1:AI2"/>
      <rowBreaks count="5" manualBreakCount="5">
        <brk id="42" max="16383" man="1"/>
        <brk id="78" max="16383" man="1"/>
        <brk id="123" max="16383" man="1"/>
        <brk id="147" max="16383" man="1"/>
        <brk id="177" max="16383" man="1"/>
      </rowBreaks>
      <colBreaks count="1" manualBreakCount="1">
        <brk id="17" max="211" man="1"/>
      </colBreaks>
      <pageMargins left="0" right="0" top="0" bottom="0" header="0.51181102362204722" footer="0.51181102362204722"/>
      <pageSetup paperSize="9" orientation="landscape" r:id="rId1"/>
      <headerFooter alignWithMargins="0"/>
    </customSheetView>
  </customSheetViews>
  <mergeCells count="168">
    <mergeCell ref="AB1:AJ1"/>
    <mergeCell ref="L3:N3"/>
    <mergeCell ref="J45:L45"/>
    <mergeCell ref="E45:G45"/>
    <mergeCell ref="E79:G79"/>
    <mergeCell ref="E124:G124"/>
    <mergeCell ref="E148:G148"/>
    <mergeCell ref="O91:P91"/>
    <mergeCell ref="O109:P109"/>
    <mergeCell ref="O108:P108"/>
    <mergeCell ref="O110:P110"/>
    <mergeCell ref="O111:P111"/>
    <mergeCell ref="O84:P84"/>
    <mergeCell ref="O1:P3"/>
    <mergeCell ref="O43:P45"/>
    <mergeCell ref="O77:P79"/>
    <mergeCell ref="O80:P80"/>
    <mergeCell ref="O81:P81"/>
    <mergeCell ref="O82:P82"/>
    <mergeCell ref="O76:P76"/>
    <mergeCell ref="O83:P83"/>
    <mergeCell ref="O92:P92"/>
    <mergeCell ref="O97:P97"/>
    <mergeCell ref="E2:H2"/>
    <mergeCell ref="A78:D78"/>
    <mergeCell ref="E78:H78"/>
    <mergeCell ref="O96:P96"/>
    <mergeCell ref="A178:D178"/>
    <mergeCell ref="O130:P130"/>
    <mergeCell ref="O85:P85"/>
    <mergeCell ref="O133:P133"/>
    <mergeCell ref="O134:P134"/>
    <mergeCell ref="O135:P135"/>
    <mergeCell ref="O128:P128"/>
    <mergeCell ref="O129:P129"/>
    <mergeCell ref="O145:P145"/>
    <mergeCell ref="O120:P120"/>
    <mergeCell ref="O132:P132"/>
    <mergeCell ref="O103:P103"/>
    <mergeCell ref="O98:P98"/>
    <mergeCell ref="O99:P99"/>
    <mergeCell ref="O100:P100"/>
    <mergeCell ref="O102:P102"/>
    <mergeCell ref="O112:P112"/>
    <mergeCell ref="O113:P113"/>
    <mergeCell ref="O116:P116"/>
    <mergeCell ref="O131:P131"/>
    <mergeCell ref="O95:P95"/>
    <mergeCell ref="A43:D43"/>
    <mergeCell ref="A44:D44"/>
    <mergeCell ref="E44:H44"/>
    <mergeCell ref="A77:D77"/>
    <mergeCell ref="A45:D45"/>
    <mergeCell ref="E3:G3"/>
    <mergeCell ref="A3:D3"/>
    <mergeCell ref="A1:D1"/>
    <mergeCell ref="A2:D2"/>
    <mergeCell ref="E1:L1"/>
    <mergeCell ref="E43:L43"/>
    <mergeCell ref="E77:L77"/>
    <mergeCell ref="O104:P104"/>
    <mergeCell ref="O127:P127"/>
    <mergeCell ref="O118:P118"/>
    <mergeCell ref="O106:P106"/>
    <mergeCell ref="O117:P117"/>
    <mergeCell ref="O121:P121"/>
    <mergeCell ref="O122:P124"/>
    <mergeCell ref="O87:P87"/>
    <mergeCell ref="O93:P93"/>
    <mergeCell ref="O101:P101"/>
    <mergeCell ref="O89:P89"/>
    <mergeCell ref="O107:P107"/>
    <mergeCell ref="O90:P90"/>
    <mergeCell ref="O125:P125"/>
    <mergeCell ref="O126:P126"/>
    <mergeCell ref="O94:P94"/>
    <mergeCell ref="A176:D176"/>
    <mergeCell ref="A177:D177"/>
    <mergeCell ref="E177:H177"/>
    <mergeCell ref="A148:D148"/>
    <mergeCell ref="O119:P119"/>
    <mergeCell ref="O114:P114"/>
    <mergeCell ref="O115:P115"/>
    <mergeCell ref="O154:P154"/>
    <mergeCell ref="O136:P136"/>
    <mergeCell ref="O137:P137"/>
    <mergeCell ref="O138:P138"/>
    <mergeCell ref="O141:P141"/>
    <mergeCell ref="O139:P139"/>
    <mergeCell ref="O142:P142"/>
    <mergeCell ref="O153:P153"/>
    <mergeCell ref="O149:P149"/>
    <mergeCell ref="O150:P150"/>
    <mergeCell ref="O151:P151"/>
    <mergeCell ref="O152:P152"/>
    <mergeCell ref="O146:P148"/>
    <mergeCell ref="O144:P144"/>
    <mergeCell ref="O140:P140"/>
    <mergeCell ref="O143:P143"/>
    <mergeCell ref="A122:D122"/>
    <mergeCell ref="A123:D123"/>
    <mergeCell ref="E123:H123"/>
    <mergeCell ref="A146:D146"/>
    <mergeCell ref="A147:D147"/>
    <mergeCell ref="E147:H147"/>
    <mergeCell ref="A79:D79"/>
    <mergeCell ref="A124:D124"/>
    <mergeCell ref="J79:L79"/>
    <mergeCell ref="J124:L124"/>
    <mergeCell ref="E122:L122"/>
    <mergeCell ref="E146:L146"/>
    <mergeCell ref="J148:L148"/>
    <mergeCell ref="O86:P86"/>
    <mergeCell ref="O88:P88"/>
    <mergeCell ref="O105:P105"/>
    <mergeCell ref="O201:P201"/>
    <mergeCell ref="O202:P202"/>
    <mergeCell ref="O203:P203"/>
    <mergeCell ref="O204:P204"/>
    <mergeCell ref="O205:P205"/>
    <mergeCell ref="J178:L178"/>
    <mergeCell ref="O182:P182"/>
    <mergeCell ref="O183:P183"/>
    <mergeCell ref="O184:P184"/>
    <mergeCell ref="O185:P185"/>
    <mergeCell ref="O186:P186"/>
    <mergeCell ref="O187:P187"/>
    <mergeCell ref="O188:P188"/>
    <mergeCell ref="O180:P180"/>
    <mergeCell ref="O155:P155"/>
    <mergeCell ref="O156:P156"/>
    <mergeCell ref="O166:P166"/>
    <mergeCell ref="O164:P164"/>
    <mergeCell ref="O163:P163"/>
    <mergeCell ref="O157:P157"/>
    <mergeCell ref="O206:P206"/>
    <mergeCell ref="O189:P189"/>
    <mergeCell ref="O190:P190"/>
    <mergeCell ref="O191:P191"/>
    <mergeCell ref="O192:P192"/>
    <mergeCell ref="O193:P193"/>
    <mergeCell ref="O194:P194"/>
    <mergeCell ref="O195:P195"/>
    <mergeCell ref="O196:P196"/>
    <mergeCell ref="O197:P197"/>
    <mergeCell ref="O198:P198"/>
    <mergeCell ref="O199:P199"/>
    <mergeCell ref="O200:P200"/>
    <mergeCell ref="O181:P181"/>
    <mergeCell ref="O176:P178"/>
    <mergeCell ref="O179:P179"/>
    <mergeCell ref="O162:P162"/>
    <mergeCell ref="O175:P175"/>
    <mergeCell ref="O174:P174"/>
    <mergeCell ref="O167:P167"/>
    <mergeCell ref="O168:P168"/>
    <mergeCell ref="O165:P165"/>
    <mergeCell ref="E178:G178"/>
    <mergeCell ref="O158:P158"/>
    <mergeCell ref="O161:P161"/>
    <mergeCell ref="O170:P170"/>
    <mergeCell ref="O171:P171"/>
    <mergeCell ref="O172:P172"/>
    <mergeCell ref="O173:P173"/>
    <mergeCell ref="O160:P160"/>
    <mergeCell ref="O169:P169"/>
    <mergeCell ref="O159:P159"/>
    <mergeCell ref="E176:L176"/>
  </mergeCells>
  <conditionalFormatting sqref="C127:N129 C145:P145 C133:N140">
    <cfRule type="cellIs" dxfId="47" priority="77" stopIfTrue="1" operator="lessThan">
      <formula>0</formula>
    </cfRule>
    <cfRule type="cellIs" dxfId="46" priority="78" stopIfTrue="1" operator="lessThan">
      <formula>0</formula>
    </cfRule>
  </conditionalFormatting>
  <conditionalFormatting sqref="C202:P206 C151:P152 C164:N165 C170:P175 O199:P201 O186:P186 O185 O182:P184 C182:N193 C195:N196 C198:N201 C167:N169 C153:N162 C181:P181">
    <cfRule type="cellIs" dxfId="45" priority="76" stopIfTrue="1" operator="lessThan">
      <formula>0</formula>
    </cfRule>
  </conditionalFormatting>
  <conditionalFormatting sqref="C94:P94">
    <cfRule type="cellIs" dxfId="44" priority="74" stopIfTrue="1" operator="lessThan">
      <formula>83.6</formula>
    </cfRule>
  </conditionalFormatting>
  <conditionalFormatting sqref="C101:P101">
    <cfRule type="cellIs" dxfId="43" priority="73" stopIfTrue="1" operator="lessThan">
      <formula>60</formula>
    </cfRule>
  </conditionalFormatting>
  <conditionalFormatting sqref="C102:P102">
    <cfRule type="cellIs" dxfId="42" priority="72" stopIfTrue="1" operator="lessThan">
      <formula>50</formula>
    </cfRule>
  </conditionalFormatting>
  <conditionalFormatting sqref="C120:N120">
    <cfRule type="cellIs" dxfId="41" priority="71" stopIfTrue="1" operator="greaterThan">
      <formula>100</formula>
    </cfRule>
  </conditionalFormatting>
  <conditionalFormatting sqref="C121:N121">
    <cfRule type="cellIs" dxfId="40" priority="70" stopIfTrue="1" operator="greaterThan">
      <formula>400</formula>
    </cfRule>
  </conditionalFormatting>
  <conditionalFormatting sqref="C116:N116">
    <cfRule type="cellIs" dxfId="39" priority="69" stopIfTrue="1" operator="lessThan">
      <formula>3</formula>
    </cfRule>
  </conditionalFormatting>
  <conditionalFormatting sqref="C117:N117">
    <cfRule type="cellIs" dxfId="38" priority="68" stopIfTrue="1" operator="lessThan">
      <formula>2.9</formula>
    </cfRule>
  </conditionalFormatting>
  <conditionalFormatting sqref="C118:N118">
    <cfRule type="cellIs" dxfId="37" priority="66" stopIfTrue="1" operator="lessThan">
      <formula>11.4</formula>
    </cfRule>
  </conditionalFormatting>
  <conditionalFormatting sqref="C119:N119">
    <cfRule type="cellIs" dxfId="36" priority="53" operator="lessThan">
      <formula>10</formula>
    </cfRule>
    <cfRule type="cellIs" dxfId="35" priority="54" operator="greaterThan">
      <formula>14</formula>
    </cfRule>
  </conditionalFormatting>
  <conditionalFormatting sqref="O116:P116">
    <cfRule type="cellIs" dxfId="34" priority="50" stopIfTrue="1" operator="lessThan">
      <formula>3</formula>
    </cfRule>
  </conditionalFormatting>
  <conditionalFormatting sqref="O116:P116">
    <cfRule type="cellIs" dxfId="33" priority="49" operator="lessThan">
      <formula>3</formula>
    </cfRule>
  </conditionalFormatting>
  <conditionalFormatting sqref="O117:P117">
    <cfRule type="cellIs" dxfId="32" priority="47" operator="lessThan">
      <formula>2.9</formula>
    </cfRule>
  </conditionalFormatting>
  <conditionalFormatting sqref="O119:P119">
    <cfRule type="cellIs" dxfId="31" priority="45" stopIfTrue="1" operator="lessThan">
      <formula>9.99</formula>
    </cfRule>
    <cfRule type="cellIs" dxfId="30" priority="46" stopIfTrue="1" operator="greaterThan">
      <formula>14.1</formula>
    </cfRule>
  </conditionalFormatting>
  <conditionalFormatting sqref="O120:P120">
    <cfRule type="cellIs" dxfId="29" priority="42" operator="greaterThan">
      <formula>100000</formula>
    </cfRule>
  </conditionalFormatting>
  <conditionalFormatting sqref="O121:P121">
    <cfRule type="cellIs" dxfId="28" priority="36" operator="greaterThan">
      <formula>400000</formula>
    </cfRule>
  </conditionalFormatting>
  <conditionalFormatting sqref="O128:P128">
    <cfRule type="cellIs" dxfId="27" priority="34" stopIfTrue="1" operator="lessThan">
      <formula>0</formula>
    </cfRule>
    <cfRule type="cellIs" dxfId="26" priority="35" stopIfTrue="1" operator="lessThan">
      <formula>0</formula>
    </cfRule>
  </conditionalFormatting>
  <conditionalFormatting sqref="O127:P127">
    <cfRule type="cellIs" dxfId="25" priority="32" stopIfTrue="1" operator="lessThan">
      <formula>0</formula>
    </cfRule>
    <cfRule type="cellIs" dxfId="24" priority="33" stopIfTrue="1" operator="lessThan">
      <formula>0</formula>
    </cfRule>
  </conditionalFormatting>
  <conditionalFormatting sqref="C130:N130">
    <cfRule type="cellIs" dxfId="23" priority="28" stopIfTrue="1" operator="lessThan">
      <formula>0</formula>
    </cfRule>
    <cfRule type="cellIs" dxfId="22" priority="29" stopIfTrue="1" operator="lessThan">
      <formula>0</formula>
    </cfRule>
  </conditionalFormatting>
  <conditionalFormatting sqref="C131:N131">
    <cfRule type="cellIs" dxfId="21" priority="24" stopIfTrue="1" operator="lessThan">
      <formula>0</formula>
    </cfRule>
    <cfRule type="cellIs" dxfId="20" priority="25" stopIfTrue="1" operator="lessThan">
      <formula>0</formula>
    </cfRule>
  </conditionalFormatting>
  <conditionalFormatting sqref="C132:N132">
    <cfRule type="cellIs" dxfId="19" priority="22" stopIfTrue="1" operator="lessThan">
      <formula>0</formula>
    </cfRule>
    <cfRule type="cellIs" dxfId="18" priority="23" stopIfTrue="1" operator="lessThan">
      <formula>0</formula>
    </cfRule>
  </conditionalFormatting>
  <conditionalFormatting sqref="C163:N163">
    <cfRule type="cellIs" dxfId="17" priority="18" stopIfTrue="1" operator="lessThan">
      <formula>0</formula>
    </cfRule>
    <cfRule type="cellIs" dxfId="16" priority="19" stopIfTrue="1" operator="lessThan">
      <formula>0</formula>
    </cfRule>
  </conditionalFormatting>
  <conditionalFormatting sqref="C166:N166">
    <cfRule type="cellIs" dxfId="15" priority="16" stopIfTrue="1" operator="lessThan">
      <formula>0</formula>
    </cfRule>
    <cfRule type="cellIs" dxfId="14" priority="17" stopIfTrue="1" operator="lessThan">
      <formula>0</formula>
    </cfRule>
  </conditionalFormatting>
  <conditionalFormatting sqref="C194:N194">
    <cfRule type="cellIs" dxfId="13" priority="14" stopIfTrue="1" operator="lessThan">
      <formula>0</formula>
    </cfRule>
    <cfRule type="cellIs" dxfId="12" priority="15" stopIfTrue="1" operator="lessThan">
      <formula>0</formula>
    </cfRule>
  </conditionalFormatting>
  <conditionalFormatting sqref="C197:N197">
    <cfRule type="cellIs" dxfId="11" priority="12" stopIfTrue="1" operator="lessThan">
      <formula>0</formula>
    </cfRule>
    <cfRule type="cellIs" dxfId="10" priority="13" stopIfTrue="1" operator="lessThan">
      <formula>0</formula>
    </cfRule>
  </conditionalFormatting>
  <conditionalFormatting sqref="O187:P198">
    <cfRule type="cellIs" dxfId="9" priority="11" stopIfTrue="1" operator="lessThan">
      <formula>0</formula>
    </cfRule>
  </conditionalFormatting>
  <conditionalFormatting sqref="O153:P169">
    <cfRule type="cellIs" dxfId="8" priority="10" stopIfTrue="1" operator="lessThan">
      <formula>0</formula>
    </cfRule>
  </conditionalFormatting>
  <conditionalFormatting sqref="O129:P143">
    <cfRule type="cellIs" dxfId="7" priority="9" stopIfTrue="1" operator="lessThan">
      <formula>0</formula>
    </cfRule>
  </conditionalFormatting>
  <conditionalFormatting sqref="O82:P91">
    <cfRule type="cellIs" dxfId="6" priority="8" stopIfTrue="1" operator="lessThan">
      <formula>0</formula>
    </cfRule>
  </conditionalFormatting>
  <conditionalFormatting sqref="O118:P118">
    <cfRule type="cellIs" dxfId="5" priority="6" operator="lessThan">
      <formula>11.3</formula>
    </cfRule>
  </conditionalFormatting>
  <conditionalFormatting sqref="C141:N143">
    <cfRule type="cellIs" dxfId="4" priority="4" stopIfTrue="1" operator="lessThan">
      <formula>0</formula>
    </cfRule>
    <cfRule type="cellIs" dxfId="3" priority="5" stopIfTrue="1" operator="lessThan">
      <formula>0</formula>
    </cfRule>
  </conditionalFormatting>
  <conditionalFormatting sqref="O144:P144">
    <cfRule type="cellIs" dxfId="2" priority="3" stopIfTrue="1" operator="lessThan">
      <formula>0</formula>
    </cfRule>
  </conditionalFormatting>
  <conditionalFormatting sqref="C144:N144">
    <cfRule type="cellIs" dxfId="1" priority="1" stopIfTrue="1" operator="lessThan">
      <formula>0</formula>
    </cfRule>
    <cfRule type="cellIs" dxfId="0" priority="2" stopIfTrue="1" operator="lessThan">
      <formula>0</formula>
    </cfRule>
  </conditionalFormatting>
  <pageMargins left="0" right="0" top="0" bottom="0" header="0.51181102362204722" footer="0.51181102362204722"/>
  <pageSetup paperSize="9" scale="74" orientation="landscape" r:id="rId2"/>
  <headerFooter alignWithMargins="0"/>
  <rowBreaks count="5" manualBreakCount="5">
    <brk id="42" max="16383" man="1"/>
    <brk id="76" max="16383" man="1"/>
    <brk id="121" max="16383" man="1"/>
    <brk id="145" max="16383" man="1"/>
    <brk id="175" max="16383" man="1"/>
  </rowBreaks>
  <colBreaks count="1" manualBreakCount="1">
    <brk id="19" max="1048575" man="1"/>
  </colBreaks>
  <ignoredErrors>
    <ignoredError sqref="C109:D109 E109:N109" unlockedFormula="1"/>
    <ignoredError sqref="D104 F104 M104 D96:F97 H96:M97 D90:M90 D86:P86 O107:P107 K104 H104 G104 I104:J104 L104 D133:M133 D169:M169 D200:M200 O196 O165 G96:G97 O109:P109 P108" formula="1"/>
  </ignoredErrors>
  <drawing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view="pageBreakPreview" zoomScale="90" zoomScaleNormal="50" zoomScaleSheetLayoutView="90" workbookViewId="0"/>
  </sheetViews>
  <sheetFormatPr defaultRowHeight="12.75" x14ac:dyDescent="0.2"/>
  <cols>
    <col min="1" max="1" width="191.28515625" bestFit="1" customWidth="1"/>
  </cols>
  <sheetData>
    <row r="1" spans="1:1" ht="39.950000000000003" customHeight="1" x14ac:dyDescent="0.2">
      <c r="A1" s="295" t="s">
        <v>344</v>
      </c>
    </row>
  </sheetData>
  <customSheetViews>
    <customSheetView guid="{97A6A664-2357-4472-A4F3-F41AC18A86A2}">
      <pageMargins left="0.511811024" right="0.511811024" top="0.78740157499999996" bottom="0.78740157499999996" header="0.31496062000000002" footer="0.31496062000000002"/>
      <pageSetup orientation="portrait" r:id="rId1"/>
    </customSheetView>
  </customSheetViews>
  <pageMargins left="0.511811024" right="0.511811024" top="0.78740157499999996" bottom="0.78740157499999996" header="0.31496062000000002" footer="0.31496062000000002"/>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0"/>
  <sheetViews>
    <sheetView zoomScaleNormal="100" workbookViewId="0">
      <selection activeCell="A8" sqref="A8"/>
    </sheetView>
  </sheetViews>
  <sheetFormatPr defaultColWidth="9.140625" defaultRowHeight="12.75" x14ac:dyDescent="0.2"/>
  <cols>
    <col min="1" max="1" width="75.85546875" style="13" bestFit="1" customWidth="1"/>
    <col min="2" max="2" width="25.7109375" style="13" customWidth="1"/>
    <col min="3" max="3" width="30" style="13" customWidth="1"/>
    <col min="4" max="10" width="7.140625" style="13" customWidth="1"/>
    <col min="11" max="11" width="6.85546875" style="13" customWidth="1"/>
    <col min="12" max="12" width="7.140625" style="13" customWidth="1"/>
    <col min="13" max="13" width="6.85546875" style="13" customWidth="1"/>
    <col min="14" max="14" width="7.140625" style="13" customWidth="1"/>
    <col min="15" max="15" width="8" style="13" customWidth="1"/>
    <col min="16" max="16" width="10.42578125" style="13" customWidth="1"/>
    <col min="17" max="19" width="6.28515625" style="13" customWidth="1"/>
    <col min="20" max="16384" width="9.140625" style="13"/>
  </cols>
  <sheetData>
    <row r="1" spans="1:16" ht="15" x14ac:dyDescent="0.2">
      <c r="A1" s="152" t="str">
        <f>COMPLETA!A1</f>
        <v>Proprietário:</v>
      </c>
      <c r="B1" s="152"/>
      <c r="F1" s="19"/>
      <c r="G1" s="38"/>
      <c r="H1" s="64"/>
      <c r="O1" s="358"/>
      <c r="P1" s="358"/>
    </row>
    <row r="2" spans="1:16" ht="15" x14ac:dyDescent="0.2">
      <c r="A2" s="152" t="str">
        <f>COMPLETA!E1</f>
        <v>Propriedade:</v>
      </c>
      <c r="B2" s="152"/>
      <c r="F2" s="38"/>
      <c r="G2" s="38"/>
      <c r="I2" s="37"/>
      <c r="O2" s="358"/>
      <c r="P2" s="358"/>
    </row>
    <row r="3" spans="1:16" ht="15" x14ac:dyDescent="0.2">
      <c r="A3" s="155" t="str">
        <f>COMPLETA!A2</f>
        <v>Município:</v>
      </c>
      <c r="B3" s="153"/>
      <c r="C3" s="38"/>
      <c r="D3" s="38"/>
      <c r="E3" s="38"/>
      <c r="O3" s="422"/>
      <c r="P3" s="422"/>
    </row>
    <row r="4" spans="1:16" ht="15" x14ac:dyDescent="0.2">
      <c r="A4" s="155" t="s">
        <v>214</v>
      </c>
      <c r="B4" s="156">
        <f>COMPLETA!O113</f>
        <v>0</v>
      </c>
      <c r="C4" s="38"/>
      <c r="D4" s="38"/>
      <c r="E4" s="38"/>
      <c r="O4" s="79"/>
      <c r="P4" s="79"/>
    </row>
    <row r="5" spans="1:16" ht="15" x14ac:dyDescent="0.2">
      <c r="A5" s="155" t="s">
        <v>163</v>
      </c>
      <c r="B5" s="155">
        <f>COMPLETA!C5</f>
        <v>2018</v>
      </c>
      <c r="C5" s="38"/>
      <c r="D5" s="38"/>
      <c r="E5" s="38"/>
      <c r="O5" s="79"/>
      <c r="P5" s="79"/>
    </row>
    <row r="6" spans="1:16" ht="15.75" thickBot="1" x14ac:dyDescent="0.25">
      <c r="A6" s="153" t="str">
        <f>COMPLETA!A3</f>
        <v>Técnico Responsável:</v>
      </c>
      <c r="B6" s="154"/>
      <c r="C6" s="82" t="str">
        <f>COMPLETA!L3</f>
        <v>versão BC 07</v>
      </c>
      <c r="D6" s="38"/>
      <c r="E6" s="38"/>
      <c r="O6" s="79"/>
      <c r="P6" s="79"/>
    </row>
    <row r="7" spans="1:16" s="68" customFormat="1" ht="17.25" thickTop="1" thickBot="1" x14ac:dyDescent="0.25">
      <c r="A7" s="65" t="s">
        <v>147</v>
      </c>
      <c r="B7" s="66" t="s">
        <v>148</v>
      </c>
      <c r="C7" s="67" t="s">
        <v>149</v>
      </c>
      <c r="D7" s="51"/>
      <c r="E7" s="51"/>
      <c r="O7" s="51"/>
      <c r="P7" s="51"/>
    </row>
    <row r="8" spans="1:16" ht="16.5" thickTop="1" x14ac:dyDescent="0.2">
      <c r="A8" s="220" t="s">
        <v>170</v>
      </c>
      <c r="B8" s="221" t="s">
        <v>45</v>
      </c>
      <c r="C8" s="222">
        <f>COMPLETA!O92</f>
        <v>0</v>
      </c>
      <c r="E8" s="74"/>
    </row>
    <row r="9" spans="1:16" ht="15.75" x14ac:dyDescent="0.2">
      <c r="A9" s="69" t="s">
        <v>171</v>
      </c>
      <c r="B9" s="70" t="s">
        <v>45</v>
      </c>
      <c r="C9" s="71">
        <f>COMPLETA!O93</f>
        <v>0</v>
      </c>
    </row>
    <row r="10" spans="1:16" ht="15.75" x14ac:dyDescent="0.2">
      <c r="A10" s="220" t="s">
        <v>170</v>
      </c>
      <c r="B10" s="221" t="s">
        <v>14</v>
      </c>
      <c r="C10" s="222" t="str">
        <f>COMPLETA!O94</f>
        <v/>
      </c>
      <c r="E10" s="74"/>
    </row>
    <row r="11" spans="1:16" ht="15.75" x14ac:dyDescent="0.2">
      <c r="A11" s="69" t="s">
        <v>172</v>
      </c>
      <c r="B11" s="70" t="s">
        <v>14</v>
      </c>
      <c r="C11" s="71" t="str">
        <f>COMPLETA!O101</f>
        <v/>
      </c>
      <c r="E11" s="74"/>
    </row>
    <row r="12" spans="1:16" ht="15.75" x14ac:dyDescent="0.2">
      <c r="A12" s="220" t="s">
        <v>179</v>
      </c>
      <c r="B12" s="221" t="s">
        <v>14</v>
      </c>
      <c r="C12" s="222" t="str">
        <f>COMPLETA!O102</f>
        <v/>
      </c>
      <c r="E12" s="74"/>
    </row>
    <row r="13" spans="1:16" ht="15.75" x14ac:dyDescent="0.2">
      <c r="A13" s="69" t="s">
        <v>180</v>
      </c>
      <c r="B13" s="70" t="s">
        <v>176</v>
      </c>
      <c r="C13" s="72">
        <f>COMPLETA!O90</f>
        <v>0</v>
      </c>
    </row>
    <row r="14" spans="1:16" ht="15.75" x14ac:dyDescent="0.2">
      <c r="A14" s="220" t="s">
        <v>181</v>
      </c>
      <c r="B14" s="221" t="s">
        <v>176</v>
      </c>
      <c r="C14" s="223">
        <f>COMPLETA!O86</f>
        <v>0</v>
      </c>
    </row>
    <row r="15" spans="1:16" ht="15.75" x14ac:dyDescent="0.2">
      <c r="A15" s="88" t="s">
        <v>314</v>
      </c>
      <c r="B15" s="89" t="s">
        <v>14</v>
      </c>
      <c r="C15" s="91" t="str">
        <f>COMPLETA!O91</f>
        <v/>
      </c>
    </row>
    <row r="16" spans="1:16" ht="15.75" x14ac:dyDescent="0.2">
      <c r="A16" s="220" t="s">
        <v>173</v>
      </c>
      <c r="B16" s="221" t="s">
        <v>140</v>
      </c>
      <c r="C16" s="222" t="str">
        <f>COMPLETA!O96</f>
        <v/>
      </c>
      <c r="E16" s="74"/>
    </row>
    <row r="17" spans="1:5" ht="15.75" x14ac:dyDescent="0.2">
      <c r="A17" s="88" t="s">
        <v>174</v>
      </c>
      <c r="B17" s="89" t="s">
        <v>140</v>
      </c>
      <c r="C17" s="91" t="str">
        <f>COMPLETA!O97</f>
        <v/>
      </c>
      <c r="E17" s="74"/>
    </row>
    <row r="18" spans="1:5" ht="15.75" x14ac:dyDescent="0.2">
      <c r="A18" s="220" t="s">
        <v>182</v>
      </c>
      <c r="B18" s="221" t="s">
        <v>45</v>
      </c>
      <c r="C18" s="222" t="str">
        <f>COMPLETA!O95</f>
        <v/>
      </c>
    </row>
    <row r="19" spans="1:5" ht="15.75" x14ac:dyDescent="0.2">
      <c r="A19" s="92" t="s">
        <v>212</v>
      </c>
      <c r="B19" s="93" t="s">
        <v>175</v>
      </c>
      <c r="C19" s="94">
        <f>COMPLETA!O114</f>
        <v>0</v>
      </c>
    </row>
    <row r="20" spans="1:5" s="80" customFormat="1" ht="15.75" x14ac:dyDescent="0.2">
      <c r="A20" s="220" t="s">
        <v>274</v>
      </c>
      <c r="B20" s="221" t="s">
        <v>175</v>
      </c>
      <c r="C20" s="224">
        <f>COMPLETA!O115</f>
        <v>0</v>
      </c>
    </row>
    <row r="21" spans="1:5" s="80" customFormat="1" ht="15.75" x14ac:dyDescent="0.2">
      <c r="A21" s="88" t="s">
        <v>177</v>
      </c>
      <c r="B21" s="89" t="s">
        <v>164</v>
      </c>
      <c r="C21" s="95" t="str">
        <f>COMPLETA!O120</f>
        <v/>
      </c>
    </row>
    <row r="22" spans="1:5" s="80" customFormat="1" ht="15.75" x14ac:dyDescent="0.2">
      <c r="A22" s="220" t="s">
        <v>178</v>
      </c>
      <c r="B22" s="221" t="s">
        <v>165</v>
      </c>
      <c r="C22" s="224" t="str">
        <f>COMPLETA!O121</f>
        <v/>
      </c>
    </row>
    <row r="23" spans="1:5" ht="15.75" x14ac:dyDescent="0.2">
      <c r="A23" s="96" t="s">
        <v>183</v>
      </c>
      <c r="B23" s="97" t="s">
        <v>141</v>
      </c>
      <c r="C23" s="90" t="str">
        <f>COMPLETA!O104</f>
        <v/>
      </c>
    </row>
    <row r="24" spans="1:5" ht="15.75" x14ac:dyDescent="0.2">
      <c r="A24" s="225" t="s">
        <v>275</v>
      </c>
      <c r="B24" s="226" t="s">
        <v>276</v>
      </c>
      <c r="C24" s="227">
        <f>COMPLETA!P75</f>
        <v>0</v>
      </c>
    </row>
    <row r="25" spans="1:5" ht="15.75" x14ac:dyDescent="0.2">
      <c r="A25" s="88" t="s">
        <v>184</v>
      </c>
      <c r="B25" s="89" t="s">
        <v>146</v>
      </c>
      <c r="C25" s="98" t="str">
        <f>COMPLETA!O130</f>
        <v/>
      </c>
    </row>
    <row r="26" spans="1:5" ht="15.75" x14ac:dyDescent="0.2">
      <c r="A26" s="220" t="s">
        <v>277</v>
      </c>
      <c r="B26" s="221" t="s">
        <v>14</v>
      </c>
      <c r="C26" s="223" t="str">
        <f>COMPLETA!O142</f>
        <v/>
      </c>
    </row>
    <row r="27" spans="1:5" ht="15.75" x14ac:dyDescent="0.2">
      <c r="A27" s="88" t="s">
        <v>278</v>
      </c>
      <c r="B27" s="89" t="s">
        <v>146</v>
      </c>
      <c r="C27" s="98" t="str">
        <f>COMPLETA!O151</f>
        <v/>
      </c>
    </row>
    <row r="28" spans="1:5" ht="15.75" x14ac:dyDescent="0.2">
      <c r="A28" s="220" t="s">
        <v>279</v>
      </c>
      <c r="B28" s="221" t="s">
        <v>146</v>
      </c>
      <c r="C28" s="227" t="str">
        <f>COMPLETA!O153</f>
        <v/>
      </c>
    </row>
    <row r="29" spans="1:5" ht="15.75" x14ac:dyDescent="0.2">
      <c r="A29" s="88" t="s">
        <v>280</v>
      </c>
      <c r="B29" s="89" t="s">
        <v>146</v>
      </c>
      <c r="C29" s="98" t="str">
        <f>COMPLETA!O182</f>
        <v/>
      </c>
    </row>
    <row r="30" spans="1:5" ht="15.75" x14ac:dyDescent="0.2">
      <c r="A30" s="220" t="s">
        <v>281</v>
      </c>
      <c r="B30" s="221" t="s">
        <v>146</v>
      </c>
      <c r="C30" s="227" t="str">
        <f>COMPLETA!O184</f>
        <v/>
      </c>
    </row>
    <row r="31" spans="1:5" ht="15.75" x14ac:dyDescent="0.2">
      <c r="A31" s="88" t="s">
        <v>197</v>
      </c>
      <c r="B31" s="89" t="s">
        <v>1</v>
      </c>
      <c r="C31" s="98">
        <f>COMPLETA!O163</f>
        <v>0</v>
      </c>
    </row>
    <row r="32" spans="1:5" ht="15.75" x14ac:dyDescent="0.2">
      <c r="A32" s="220" t="s">
        <v>198</v>
      </c>
      <c r="B32" s="221" t="s">
        <v>52</v>
      </c>
      <c r="C32" s="227">
        <f>COMPLETA!O164</f>
        <v>0</v>
      </c>
    </row>
    <row r="33" spans="1:3" ht="15.75" x14ac:dyDescent="0.2">
      <c r="A33" s="88" t="s">
        <v>282</v>
      </c>
      <c r="B33" s="89" t="s">
        <v>129</v>
      </c>
      <c r="C33" s="98" t="str">
        <f>COMPLETA!O165</f>
        <v/>
      </c>
    </row>
    <row r="34" spans="1:3" ht="15.75" x14ac:dyDescent="0.2">
      <c r="A34" s="220" t="s">
        <v>283</v>
      </c>
      <c r="B34" s="221" t="s">
        <v>1</v>
      </c>
      <c r="C34" s="227">
        <f>COMPLETA!O194</f>
        <v>0</v>
      </c>
    </row>
    <row r="35" spans="1:3" ht="15.75" x14ac:dyDescent="0.2">
      <c r="A35" s="88" t="s">
        <v>284</v>
      </c>
      <c r="B35" s="89" t="s">
        <v>52</v>
      </c>
      <c r="C35" s="98">
        <f>COMPLETA!O195</f>
        <v>0</v>
      </c>
    </row>
    <row r="36" spans="1:3" ht="15.75" x14ac:dyDescent="0.2">
      <c r="A36" s="220" t="s">
        <v>285</v>
      </c>
      <c r="B36" s="221" t="s">
        <v>129</v>
      </c>
      <c r="C36" s="227" t="str">
        <f>COMPLETA!O196</f>
        <v/>
      </c>
    </row>
    <row r="37" spans="1:3" ht="15.75" x14ac:dyDescent="0.2">
      <c r="A37" s="88" t="s">
        <v>199</v>
      </c>
      <c r="B37" s="89" t="s">
        <v>185</v>
      </c>
      <c r="C37" s="98">
        <f>(COMPLETA!O131)/12</f>
        <v>0</v>
      </c>
    </row>
    <row r="38" spans="1:3" s="81" customFormat="1" ht="15.75" x14ac:dyDescent="0.2">
      <c r="A38" s="220" t="s">
        <v>286</v>
      </c>
      <c r="B38" s="228" t="s">
        <v>14</v>
      </c>
      <c r="C38" s="227" t="str">
        <f>COMPLETA!O175</f>
        <v/>
      </c>
    </row>
    <row r="39" spans="1:3" ht="16.5" thickBot="1" x14ac:dyDescent="0.25">
      <c r="A39" s="99" t="s">
        <v>287</v>
      </c>
      <c r="B39" s="100" t="s">
        <v>14</v>
      </c>
      <c r="C39" s="101" t="str">
        <f>COMPLETA!O206</f>
        <v/>
      </c>
    </row>
    <row r="40" spans="1:3" ht="13.5" thickTop="1" x14ac:dyDescent="0.2"/>
  </sheetData>
  <customSheetViews>
    <customSheetView guid="{97A6A664-2357-4472-A4F3-F41AC18A86A2}">
      <pageMargins left="0.511811024" right="0.511811024" top="0.78740157499999996" bottom="0.78740157499999996" header="0.31496062000000002" footer="0.31496062000000002"/>
      <pageSetup paperSize="9" orientation="portrait" r:id="rId1"/>
    </customSheetView>
  </customSheetViews>
  <mergeCells count="1">
    <mergeCell ref="O1:P3"/>
  </mergeCells>
  <pageMargins left="0.511811024" right="0.511811024" top="0.78740157499999996" bottom="0.78740157499999996" header="0.31496062000000002" footer="0.31496062000000002"/>
  <pageSetup paperSize="9" orientation="portrait" r:id="rId2"/>
  <ignoredErrors>
    <ignoredError sqref="A1"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Animais</vt:lpstr>
      <vt:lpstr>Instalações</vt:lpstr>
      <vt:lpstr>Máquinas</vt:lpstr>
      <vt:lpstr>Terra</vt:lpstr>
      <vt:lpstr>Patrimônio</vt:lpstr>
      <vt:lpstr>COMPLETA</vt:lpstr>
      <vt:lpstr>ÚNICA INSTRUÇÃO</vt:lpstr>
      <vt:lpstr>RESUMIDA</vt:lpstr>
      <vt:lpstr>COMPLETA!Print_Area</vt:lpstr>
      <vt:lpstr>'ÚNICA INSTRUÇÃO'!Print_Area</vt:lpstr>
    </vt:vector>
  </TitlesOfParts>
  <Manager>EMBRAPA</Manager>
  <Company>EMBRAPA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Balde Cheio</dc:title>
  <dc:subject>Planilha de Avaliação Econômica e Zootécnica</dc:subject>
  <dc:creator>Artur Chinelato de Camargo, Alexandre da Silva Prado, André Luiz Monteiro Novo, Fábio Silveira Moreira, Leonardo Cotta Quintão, Lucas do Carmo Bretas e Walter Miguel Ribeiro</dc:creator>
  <dc:description>versão BC-07</dc:description>
  <cp:lastModifiedBy>Eugenio Fonseca</cp:lastModifiedBy>
  <cp:lastPrinted>2006-11-30T13:23:08Z</cp:lastPrinted>
  <dcterms:created xsi:type="dcterms:W3CDTF">1998-06-25T09:46:08Z</dcterms:created>
  <dcterms:modified xsi:type="dcterms:W3CDTF">2019-09-07T19:46:18Z</dcterms:modified>
  <cp:version>BC-07</cp:version>
</cp:coreProperties>
</file>